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lukeharris/Downloads/"/>
    </mc:Choice>
  </mc:AlternateContent>
  <bookViews>
    <workbookView xWindow="1460" yWindow="1340" windowWidth="28800" windowHeight="17540"/>
  </bookViews>
  <sheets>
    <sheet name="Summary" sheetId="4" r:id="rId1"/>
    <sheet name="Model" sheetId="1" r:id="rId2"/>
    <sheet name="Personnel" sheetId="5" r:id="rId3"/>
    <sheet name="About" sheetId="6" r:id="rId4"/>
  </sheets>
  <externalReferences>
    <externalReference r:id="rId5"/>
  </externalReferences>
  <definedNames>
    <definedName name="_xlnm._FilterDatabase" localSheetId="2" hidden="1">Personnel!$B$5:$R$50</definedName>
    <definedName name="_xlnm.Print_Titles" localSheetId="2">Personnel!$B:$B</definedName>
    <definedName name="Thousands">[1]RunwayCalculatorSimple!$A$1</definedName>
  </definedNames>
  <calcPr calcId="150001" calcMode="autoNoTable" iterate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5" l="1"/>
  <c r="I11" i="5"/>
  <c r="J11" i="5"/>
  <c r="K11" i="5"/>
  <c r="L11" i="5"/>
  <c r="N11" i="5"/>
  <c r="O11" i="5"/>
  <c r="P11" i="5"/>
  <c r="Q11" i="5"/>
  <c r="R11" i="5"/>
  <c r="T11" i="5"/>
  <c r="U11" i="5"/>
  <c r="V11" i="5"/>
  <c r="W11" i="5"/>
  <c r="X11" i="5"/>
  <c r="H10" i="5"/>
  <c r="I10" i="5"/>
  <c r="J10" i="5"/>
  <c r="K10" i="5"/>
  <c r="L10" i="5"/>
  <c r="N10" i="5"/>
  <c r="O10" i="5"/>
  <c r="P10" i="5"/>
  <c r="Q10" i="5"/>
  <c r="R10" i="5"/>
  <c r="T10" i="5"/>
  <c r="U10" i="5"/>
  <c r="V10" i="5"/>
  <c r="W10" i="5"/>
  <c r="X10" i="5"/>
  <c r="H38" i="5"/>
  <c r="I38" i="5"/>
  <c r="J38" i="5"/>
  <c r="K38" i="5"/>
  <c r="L38" i="5"/>
  <c r="N38" i="5"/>
  <c r="O38" i="5"/>
  <c r="P38" i="5"/>
  <c r="Q38" i="5"/>
  <c r="R38" i="5"/>
  <c r="T38" i="5"/>
  <c r="U38" i="5"/>
  <c r="V38" i="5"/>
  <c r="W38" i="5"/>
  <c r="X38" i="5"/>
  <c r="H39" i="5"/>
  <c r="I39" i="5"/>
  <c r="J39" i="5"/>
  <c r="K39" i="5"/>
  <c r="L39" i="5"/>
  <c r="N39" i="5"/>
  <c r="O39" i="5"/>
  <c r="P39" i="5"/>
  <c r="Q39" i="5"/>
  <c r="R39" i="5"/>
  <c r="T39" i="5"/>
  <c r="U39" i="5"/>
  <c r="V39" i="5"/>
  <c r="W39" i="5"/>
  <c r="X39" i="5"/>
  <c r="H20" i="5"/>
  <c r="I20" i="5"/>
  <c r="J20" i="5"/>
  <c r="K20" i="5"/>
  <c r="L20" i="5"/>
  <c r="N20" i="5"/>
  <c r="O20" i="5"/>
  <c r="P20" i="5"/>
  <c r="Q20" i="5"/>
  <c r="R20" i="5"/>
  <c r="T20" i="5"/>
  <c r="U20" i="5"/>
  <c r="V20" i="5"/>
  <c r="W20" i="5"/>
  <c r="X20" i="5"/>
  <c r="H44" i="5"/>
  <c r="I44" i="5"/>
  <c r="J44" i="5"/>
  <c r="K44" i="5"/>
  <c r="L44" i="5"/>
  <c r="N44" i="5"/>
  <c r="O44" i="5"/>
  <c r="P44" i="5"/>
  <c r="Q44" i="5"/>
  <c r="R44" i="5"/>
  <c r="T44" i="5"/>
  <c r="U44" i="5"/>
  <c r="V44" i="5"/>
  <c r="W44" i="5"/>
  <c r="X44" i="5"/>
  <c r="H36" i="5"/>
  <c r="I36" i="5"/>
  <c r="J36" i="5"/>
  <c r="K36" i="5"/>
  <c r="L36" i="5"/>
  <c r="N36" i="5"/>
  <c r="O36" i="5"/>
  <c r="P36" i="5"/>
  <c r="Q36" i="5"/>
  <c r="R36" i="5"/>
  <c r="T36" i="5"/>
  <c r="U36" i="5"/>
  <c r="V36" i="5"/>
  <c r="W36" i="5"/>
  <c r="X36" i="5"/>
  <c r="H37" i="5"/>
  <c r="I37" i="5"/>
  <c r="J37" i="5"/>
  <c r="K37" i="5"/>
  <c r="L37" i="5"/>
  <c r="N37" i="5"/>
  <c r="O37" i="5"/>
  <c r="P37" i="5"/>
  <c r="Q37" i="5"/>
  <c r="R37" i="5"/>
  <c r="T37" i="5"/>
  <c r="U37" i="5"/>
  <c r="V37" i="5"/>
  <c r="W37" i="5"/>
  <c r="X37" i="5"/>
  <c r="H42" i="5"/>
  <c r="I42" i="5"/>
  <c r="J42" i="5"/>
  <c r="K42" i="5"/>
  <c r="L42" i="5"/>
  <c r="N42" i="5"/>
  <c r="O42" i="5"/>
  <c r="P42" i="5"/>
  <c r="Q42" i="5"/>
  <c r="R42" i="5"/>
  <c r="T42" i="5"/>
  <c r="U42" i="5"/>
  <c r="V42" i="5"/>
  <c r="W42" i="5"/>
  <c r="X42" i="5"/>
  <c r="H26" i="5"/>
  <c r="I26" i="5"/>
  <c r="J26" i="5"/>
  <c r="K26" i="5"/>
  <c r="L26" i="5"/>
  <c r="N26" i="5"/>
  <c r="O26" i="5"/>
  <c r="P26" i="5"/>
  <c r="Q26" i="5"/>
  <c r="R26" i="5"/>
  <c r="T26" i="5"/>
  <c r="U26" i="5"/>
  <c r="V26" i="5"/>
  <c r="W26" i="5"/>
  <c r="X26" i="5"/>
  <c r="H18" i="5"/>
  <c r="I18" i="5"/>
  <c r="J18" i="5"/>
  <c r="K18" i="5"/>
  <c r="L18" i="5"/>
  <c r="N18" i="5"/>
  <c r="O18" i="5"/>
  <c r="P18" i="5"/>
  <c r="Q18" i="5"/>
  <c r="R18" i="5"/>
  <c r="T18" i="5"/>
  <c r="U18" i="5"/>
  <c r="V18" i="5"/>
  <c r="W18" i="5"/>
  <c r="X18" i="5"/>
  <c r="H24" i="5"/>
  <c r="I24" i="5"/>
  <c r="J24" i="5"/>
  <c r="K24" i="5"/>
  <c r="L24" i="5"/>
  <c r="N24" i="5"/>
  <c r="O24" i="5"/>
  <c r="P24" i="5"/>
  <c r="Q24" i="5"/>
  <c r="R24" i="5"/>
  <c r="T24" i="5"/>
  <c r="U24" i="5"/>
  <c r="V24" i="5"/>
  <c r="W24" i="5"/>
  <c r="X24" i="5"/>
  <c r="H25" i="5"/>
  <c r="I25" i="5"/>
  <c r="J25" i="5"/>
  <c r="K25" i="5"/>
  <c r="L25" i="5"/>
  <c r="N25" i="5"/>
  <c r="O25" i="5"/>
  <c r="P25" i="5"/>
  <c r="Q25" i="5"/>
  <c r="R25" i="5"/>
  <c r="T25" i="5"/>
  <c r="U25" i="5"/>
  <c r="V25" i="5"/>
  <c r="W25" i="5"/>
  <c r="X25" i="5"/>
  <c r="H29" i="5"/>
  <c r="I29" i="5"/>
  <c r="J29" i="5"/>
  <c r="K29" i="5"/>
  <c r="L29" i="5"/>
  <c r="N29" i="5"/>
  <c r="O29" i="5"/>
  <c r="P29" i="5"/>
  <c r="Q29" i="5"/>
  <c r="R29" i="5"/>
  <c r="T29" i="5"/>
  <c r="U29" i="5"/>
  <c r="V29" i="5"/>
  <c r="W29" i="5"/>
  <c r="X29" i="5"/>
  <c r="T73" i="5"/>
  <c r="U73" i="5"/>
  <c r="V73" i="5"/>
  <c r="W73" i="5"/>
  <c r="T74" i="5"/>
  <c r="U74" i="5"/>
  <c r="V74" i="5"/>
  <c r="W74" i="5"/>
  <c r="T75" i="5"/>
  <c r="U75" i="5"/>
  <c r="V75" i="5"/>
  <c r="W75" i="5"/>
  <c r="T76" i="5"/>
  <c r="U76" i="5"/>
  <c r="V76" i="5"/>
  <c r="W76" i="5"/>
  <c r="T77" i="5"/>
  <c r="U77" i="5"/>
  <c r="V77" i="5"/>
  <c r="W77" i="5"/>
  <c r="U72" i="5"/>
  <c r="V72" i="5"/>
  <c r="W72" i="5"/>
  <c r="T72" i="5"/>
  <c r="T78" i="5"/>
  <c r="U78" i="5"/>
  <c r="V78" i="5"/>
  <c r="W78" i="5"/>
  <c r="X78" i="5"/>
  <c r="X77" i="5"/>
  <c r="X76" i="5"/>
  <c r="X75" i="5"/>
  <c r="X74" i="5"/>
  <c r="X73" i="5"/>
  <c r="X72" i="5"/>
  <c r="N73" i="5"/>
  <c r="O73" i="5"/>
  <c r="P73" i="5"/>
  <c r="Q73" i="5"/>
  <c r="N74" i="5"/>
  <c r="O74" i="5"/>
  <c r="P74" i="5"/>
  <c r="Q74" i="5"/>
  <c r="N75" i="5"/>
  <c r="O75" i="5"/>
  <c r="P75" i="5"/>
  <c r="Q75" i="5"/>
  <c r="N76" i="5"/>
  <c r="O76" i="5"/>
  <c r="P76" i="5"/>
  <c r="Q76" i="5"/>
  <c r="N77" i="5"/>
  <c r="O77" i="5"/>
  <c r="P77" i="5"/>
  <c r="Q77" i="5"/>
  <c r="O72" i="5"/>
  <c r="P72" i="5"/>
  <c r="Q72" i="5"/>
  <c r="N72" i="5"/>
  <c r="G53" i="1"/>
  <c r="G55" i="1"/>
  <c r="H58" i="5"/>
  <c r="H59" i="5"/>
  <c r="H21" i="5"/>
  <c r="H22" i="5"/>
  <c r="H23" i="5"/>
  <c r="H17" i="5"/>
  <c r="H28" i="5"/>
  <c r="H60" i="5"/>
  <c r="H61" i="5"/>
  <c r="H62" i="5"/>
  <c r="H63" i="5"/>
  <c r="H64" i="5"/>
  <c r="C26" i="1"/>
  <c r="H72" i="5"/>
  <c r="H73" i="5"/>
  <c r="H74" i="5"/>
  <c r="H75" i="5"/>
  <c r="H76" i="5"/>
  <c r="H77" i="5"/>
  <c r="H78" i="5"/>
  <c r="C27" i="1"/>
  <c r="H85" i="5"/>
  <c r="H86" i="5"/>
  <c r="H87" i="5"/>
  <c r="H88" i="5"/>
  <c r="H89" i="5"/>
  <c r="H90" i="5"/>
  <c r="H91" i="5"/>
  <c r="C28" i="1"/>
  <c r="H98" i="5"/>
  <c r="H99" i="5"/>
  <c r="H100" i="5"/>
  <c r="H101" i="5"/>
  <c r="H102" i="5"/>
  <c r="H103" i="5"/>
  <c r="H104" i="5"/>
  <c r="C29" i="1"/>
  <c r="C40" i="1"/>
  <c r="C9" i="1"/>
  <c r="C11" i="1"/>
  <c r="C12" i="1"/>
  <c r="C17" i="1"/>
  <c r="C19" i="1"/>
  <c r="C42" i="1"/>
  <c r="C54" i="1"/>
  <c r="I58" i="5"/>
  <c r="I59" i="5"/>
  <c r="I21" i="5"/>
  <c r="I22" i="5"/>
  <c r="I23" i="5"/>
  <c r="I17" i="5"/>
  <c r="I28" i="5"/>
  <c r="I60" i="5"/>
  <c r="I61" i="5"/>
  <c r="I62" i="5"/>
  <c r="I63" i="5"/>
  <c r="I64" i="5"/>
  <c r="D26" i="1"/>
  <c r="I72" i="5"/>
  <c r="I73" i="5"/>
  <c r="I74" i="5"/>
  <c r="I75" i="5"/>
  <c r="I76" i="5"/>
  <c r="I77" i="5"/>
  <c r="I78" i="5"/>
  <c r="D27" i="1"/>
  <c r="I85" i="5"/>
  <c r="I86" i="5"/>
  <c r="I87" i="5"/>
  <c r="I88" i="5"/>
  <c r="I89" i="5"/>
  <c r="I90" i="5"/>
  <c r="I91" i="5"/>
  <c r="D28" i="1"/>
  <c r="I98" i="5"/>
  <c r="I99" i="5"/>
  <c r="I100" i="5"/>
  <c r="I101" i="5"/>
  <c r="I102" i="5"/>
  <c r="I103" i="5"/>
  <c r="I104" i="5"/>
  <c r="D29" i="1"/>
  <c r="D30" i="1"/>
  <c r="D31" i="1"/>
  <c r="D33" i="1"/>
  <c r="D34" i="1"/>
  <c r="D35" i="1"/>
  <c r="D37" i="1"/>
  <c r="D38" i="1"/>
  <c r="D39" i="1"/>
  <c r="D32" i="1"/>
  <c r="D40" i="1"/>
  <c r="D9" i="1"/>
  <c r="D10" i="1"/>
  <c r="D14" i="1"/>
  <c r="D11" i="1"/>
  <c r="D12" i="1"/>
  <c r="D16" i="1"/>
  <c r="D17" i="1"/>
  <c r="D19" i="1"/>
  <c r="D42" i="1"/>
  <c r="D54" i="1"/>
  <c r="J58" i="5"/>
  <c r="J59" i="5"/>
  <c r="J21" i="5"/>
  <c r="J22" i="5"/>
  <c r="J23" i="5"/>
  <c r="J17" i="5"/>
  <c r="J28" i="5"/>
  <c r="J60" i="5"/>
  <c r="J61" i="5"/>
  <c r="J62" i="5"/>
  <c r="J63" i="5"/>
  <c r="J64" i="5"/>
  <c r="E26" i="1"/>
  <c r="J72" i="5"/>
  <c r="J73" i="5"/>
  <c r="J74" i="5"/>
  <c r="J75" i="5"/>
  <c r="J76" i="5"/>
  <c r="J77" i="5"/>
  <c r="J78" i="5"/>
  <c r="E27" i="1"/>
  <c r="J85" i="5"/>
  <c r="J86" i="5"/>
  <c r="J87" i="5"/>
  <c r="J88" i="5"/>
  <c r="J89" i="5"/>
  <c r="J90" i="5"/>
  <c r="J91" i="5"/>
  <c r="E28" i="1"/>
  <c r="J98" i="5"/>
  <c r="J99" i="5"/>
  <c r="J100" i="5"/>
  <c r="J101" i="5"/>
  <c r="J102" i="5"/>
  <c r="J103" i="5"/>
  <c r="J104" i="5"/>
  <c r="E29" i="1"/>
  <c r="E30" i="1"/>
  <c r="E31" i="1"/>
  <c r="E33" i="1"/>
  <c r="E34" i="1"/>
  <c r="E35" i="1"/>
  <c r="E37" i="1"/>
  <c r="E38" i="1"/>
  <c r="E39" i="1"/>
  <c r="E32" i="1"/>
  <c r="E40" i="1"/>
  <c r="E9" i="1"/>
  <c r="E14" i="1"/>
  <c r="E11" i="1"/>
  <c r="E12" i="1"/>
  <c r="E16" i="1"/>
  <c r="E17" i="1"/>
  <c r="E19" i="1"/>
  <c r="E42" i="1"/>
  <c r="E54" i="1"/>
  <c r="K58" i="5"/>
  <c r="K59" i="5"/>
  <c r="K21" i="5"/>
  <c r="K22" i="5"/>
  <c r="K23" i="5"/>
  <c r="K17" i="5"/>
  <c r="K28" i="5"/>
  <c r="K60" i="5"/>
  <c r="K61" i="5"/>
  <c r="K62" i="5"/>
  <c r="K63" i="5"/>
  <c r="K64" i="5"/>
  <c r="F26" i="1"/>
  <c r="K72" i="5"/>
  <c r="K73" i="5"/>
  <c r="K74" i="5"/>
  <c r="K75" i="5"/>
  <c r="K76" i="5"/>
  <c r="K77" i="5"/>
  <c r="K78" i="5"/>
  <c r="F27" i="1"/>
  <c r="K85" i="5"/>
  <c r="K86" i="5"/>
  <c r="K87" i="5"/>
  <c r="K88" i="5"/>
  <c r="K89" i="5"/>
  <c r="K90" i="5"/>
  <c r="K91" i="5"/>
  <c r="F28" i="1"/>
  <c r="K98" i="5"/>
  <c r="K99" i="5"/>
  <c r="K100" i="5"/>
  <c r="K101" i="5"/>
  <c r="K102" i="5"/>
  <c r="K103" i="5"/>
  <c r="K104" i="5"/>
  <c r="F29" i="1"/>
  <c r="F30" i="1"/>
  <c r="F31" i="1"/>
  <c r="F33" i="1"/>
  <c r="F34" i="1"/>
  <c r="F35" i="1"/>
  <c r="F37" i="1"/>
  <c r="F38" i="1"/>
  <c r="F39" i="1"/>
  <c r="F32" i="1"/>
  <c r="F40" i="1"/>
  <c r="F9" i="1"/>
  <c r="F10" i="1"/>
  <c r="F14" i="1"/>
  <c r="F11" i="1"/>
  <c r="F12" i="1"/>
  <c r="F16" i="1"/>
  <c r="F17" i="1"/>
  <c r="F19" i="1"/>
  <c r="F42" i="1"/>
  <c r="F54" i="1"/>
  <c r="G54" i="1"/>
  <c r="G56" i="1"/>
  <c r="I53" i="1"/>
  <c r="M53" i="1"/>
  <c r="N78" i="5"/>
  <c r="I27" i="1"/>
  <c r="N58" i="5"/>
  <c r="N85" i="5"/>
  <c r="N59" i="5"/>
  <c r="N86" i="5"/>
  <c r="N21" i="5"/>
  <c r="N22" i="5"/>
  <c r="N23" i="5"/>
  <c r="N17" i="5"/>
  <c r="N28" i="5"/>
  <c r="N60" i="5"/>
  <c r="N87" i="5"/>
  <c r="N61" i="5"/>
  <c r="N88" i="5"/>
  <c r="N62" i="5"/>
  <c r="N89" i="5"/>
  <c r="N63" i="5"/>
  <c r="N90" i="5"/>
  <c r="N91" i="5"/>
  <c r="I28" i="1"/>
  <c r="N64" i="5"/>
  <c r="I26" i="1"/>
  <c r="N98" i="5"/>
  <c r="N99" i="5"/>
  <c r="N100" i="5"/>
  <c r="N101" i="5"/>
  <c r="N102" i="5"/>
  <c r="N103" i="5"/>
  <c r="N104" i="5"/>
  <c r="I29" i="1"/>
  <c r="I30" i="1"/>
  <c r="I31" i="1"/>
  <c r="I34" i="1"/>
  <c r="I35" i="1"/>
  <c r="I37" i="1"/>
  <c r="I38" i="1"/>
  <c r="I39" i="1"/>
  <c r="I32" i="1"/>
  <c r="I40" i="1"/>
  <c r="I9" i="1"/>
  <c r="I11" i="1"/>
  <c r="I12" i="1"/>
  <c r="I16" i="1"/>
  <c r="I17" i="1"/>
  <c r="I19" i="1"/>
  <c r="I42" i="1"/>
  <c r="I54" i="1"/>
  <c r="O78" i="5"/>
  <c r="J27" i="1"/>
  <c r="O58" i="5"/>
  <c r="O85" i="5"/>
  <c r="O59" i="5"/>
  <c r="O86" i="5"/>
  <c r="O21" i="5"/>
  <c r="O22" i="5"/>
  <c r="O23" i="5"/>
  <c r="O17" i="5"/>
  <c r="O28" i="5"/>
  <c r="O60" i="5"/>
  <c r="O87" i="5"/>
  <c r="O61" i="5"/>
  <c r="O88" i="5"/>
  <c r="O62" i="5"/>
  <c r="O89" i="5"/>
  <c r="O63" i="5"/>
  <c r="O90" i="5"/>
  <c r="O91" i="5"/>
  <c r="J28" i="1"/>
  <c r="O64" i="5"/>
  <c r="J26" i="1"/>
  <c r="O98" i="5"/>
  <c r="O99" i="5"/>
  <c r="O100" i="5"/>
  <c r="O101" i="5"/>
  <c r="O102" i="5"/>
  <c r="O103" i="5"/>
  <c r="O104" i="5"/>
  <c r="J29" i="1"/>
  <c r="J30" i="1"/>
  <c r="J31" i="1"/>
  <c r="J33" i="1"/>
  <c r="J34" i="1"/>
  <c r="J35" i="1"/>
  <c r="J37" i="1"/>
  <c r="J38" i="1"/>
  <c r="J39" i="1"/>
  <c r="J32" i="1"/>
  <c r="J40" i="1"/>
  <c r="J9" i="1"/>
  <c r="J10" i="1"/>
  <c r="J14" i="1"/>
  <c r="J11" i="1"/>
  <c r="J12" i="1"/>
  <c r="J16" i="1"/>
  <c r="J17" i="1"/>
  <c r="J19" i="1"/>
  <c r="J42" i="1"/>
  <c r="J54" i="1"/>
  <c r="P78" i="5"/>
  <c r="K27" i="1"/>
  <c r="P58" i="5"/>
  <c r="P85" i="5"/>
  <c r="P59" i="5"/>
  <c r="P86" i="5"/>
  <c r="P21" i="5"/>
  <c r="P22" i="5"/>
  <c r="P23" i="5"/>
  <c r="P17" i="5"/>
  <c r="P28" i="5"/>
  <c r="P60" i="5"/>
  <c r="P87" i="5"/>
  <c r="P61" i="5"/>
  <c r="P88" i="5"/>
  <c r="P62" i="5"/>
  <c r="P89" i="5"/>
  <c r="P63" i="5"/>
  <c r="P90" i="5"/>
  <c r="P91" i="5"/>
  <c r="K28" i="1"/>
  <c r="P64" i="5"/>
  <c r="K26" i="1"/>
  <c r="P98" i="5"/>
  <c r="P99" i="5"/>
  <c r="P100" i="5"/>
  <c r="P101" i="5"/>
  <c r="P102" i="5"/>
  <c r="P103" i="5"/>
  <c r="P104" i="5"/>
  <c r="K29" i="1"/>
  <c r="K30" i="1"/>
  <c r="K31" i="1"/>
  <c r="K33" i="1"/>
  <c r="K34" i="1"/>
  <c r="K35" i="1"/>
  <c r="K37" i="1"/>
  <c r="K38" i="1"/>
  <c r="K39" i="1"/>
  <c r="K32" i="1"/>
  <c r="K40" i="1"/>
  <c r="K9" i="1"/>
  <c r="K14" i="1"/>
  <c r="K11" i="1"/>
  <c r="K12" i="1"/>
  <c r="K16" i="1"/>
  <c r="K17" i="1"/>
  <c r="K19" i="1"/>
  <c r="K42" i="1"/>
  <c r="K54" i="1"/>
  <c r="Q78" i="5"/>
  <c r="L27" i="1"/>
  <c r="Q58" i="5"/>
  <c r="Q85" i="5"/>
  <c r="Q59" i="5"/>
  <c r="Q86" i="5"/>
  <c r="Q21" i="5"/>
  <c r="Q22" i="5"/>
  <c r="Q23" i="5"/>
  <c r="Q17" i="5"/>
  <c r="Q28" i="5"/>
  <c r="Q60" i="5"/>
  <c r="Q87" i="5"/>
  <c r="Q61" i="5"/>
  <c r="Q88" i="5"/>
  <c r="Q62" i="5"/>
  <c r="Q89" i="5"/>
  <c r="Q63" i="5"/>
  <c r="Q90" i="5"/>
  <c r="Q91" i="5"/>
  <c r="L28" i="1"/>
  <c r="Q64" i="5"/>
  <c r="L26" i="1"/>
  <c r="Q98" i="5"/>
  <c r="Q99" i="5"/>
  <c r="Q100" i="5"/>
  <c r="Q101" i="5"/>
  <c r="Q102" i="5"/>
  <c r="Q103" i="5"/>
  <c r="Q104" i="5"/>
  <c r="L29" i="1"/>
  <c r="L30" i="1"/>
  <c r="L31" i="1"/>
  <c r="L33" i="1"/>
  <c r="L34" i="1"/>
  <c r="L35" i="1"/>
  <c r="L37" i="1"/>
  <c r="L38" i="1"/>
  <c r="L39" i="1"/>
  <c r="L32" i="1"/>
  <c r="L40" i="1"/>
  <c r="L9" i="1"/>
  <c r="L10" i="1"/>
  <c r="L14" i="1"/>
  <c r="L11" i="1"/>
  <c r="L12" i="1"/>
  <c r="L16" i="1"/>
  <c r="L17" i="1"/>
  <c r="L19" i="1"/>
  <c r="L42" i="1"/>
  <c r="L54" i="1"/>
  <c r="M54" i="1"/>
  <c r="M55" i="1"/>
  <c r="M56" i="1"/>
  <c r="O53" i="1"/>
  <c r="S53" i="1"/>
  <c r="O27" i="1"/>
  <c r="T58" i="5"/>
  <c r="T85" i="5"/>
  <c r="T59" i="5"/>
  <c r="T86" i="5"/>
  <c r="T21" i="5"/>
  <c r="T22" i="5"/>
  <c r="T23" i="5"/>
  <c r="T17" i="5"/>
  <c r="T28" i="5"/>
  <c r="T60" i="5"/>
  <c r="T87" i="5"/>
  <c r="T61" i="5"/>
  <c r="T88" i="5"/>
  <c r="T62" i="5"/>
  <c r="T89" i="5"/>
  <c r="T63" i="5"/>
  <c r="T90" i="5"/>
  <c r="T91" i="5"/>
  <c r="O28" i="1"/>
  <c r="T64" i="5"/>
  <c r="O26" i="1"/>
  <c r="T98" i="5"/>
  <c r="T99" i="5"/>
  <c r="T100" i="5"/>
  <c r="T101" i="5"/>
  <c r="T102" i="5"/>
  <c r="T103" i="5"/>
  <c r="T104" i="5"/>
  <c r="O29" i="1"/>
  <c r="O30" i="1"/>
  <c r="O31" i="1"/>
  <c r="O34" i="1"/>
  <c r="O35" i="1"/>
  <c r="O37" i="1"/>
  <c r="O38" i="1"/>
  <c r="O39" i="1"/>
  <c r="O32" i="1"/>
  <c r="O40" i="1"/>
  <c r="O9" i="1"/>
  <c r="O11" i="1"/>
  <c r="O12" i="1"/>
  <c r="O16" i="1"/>
  <c r="O17" i="1"/>
  <c r="O19" i="1"/>
  <c r="O42" i="1"/>
  <c r="O54" i="1"/>
  <c r="P27" i="1"/>
  <c r="U58" i="5"/>
  <c r="U85" i="5"/>
  <c r="U59" i="5"/>
  <c r="U86" i="5"/>
  <c r="U21" i="5"/>
  <c r="U22" i="5"/>
  <c r="U23" i="5"/>
  <c r="U17" i="5"/>
  <c r="U28" i="5"/>
  <c r="U60" i="5"/>
  <c r="U87" i="5"/>
  <c r="U61" i="5"/>
  <c r="U88" i="5"/>
  <c r="U62" i="5"/>
  <c r="U89" i="5"/>
  <c r="U63" i="5"/>
  <c r="U90" i="5"/>
  <c r="U91" i="5"/>
  <c r="P28" i="1"/>
  <c r="U64" i="5"/>
  <c r="P26" i="1"/>
  <c r="U98" i="5"/>
  <c r="U99" i="5"/>
  <c r="U100" i="5"/>
  <c r="U101" i="5"/>
  <c r="U102" i="5"/>
  <c r="U103" i="5"/>
  <c r="U104" i="5"/>
  <c r="P29" i="1"/>
  <c r="P30" i="1"/>
  <c r="P31" i="1"/>
  <c r="P33" i="1"/>
  <c r="P34" i="1"/>
  <c r="P35" i="1"/>
  <c r="P37" i="1"/>
  <c r="P38" i="1"/>
  <c r="P39" i="1"/>
  <c r="P32" i="1"/>
  <c r="P40" i="1"/>
  <c r="P9" i="1"/>
  <c r="P10" i="1"/>
  <c r="P14" i="1"/>
  <c r="P11" i="1"/>
  <c r="P12" i="1"/>
  <c r="P16" i="1"/>
  <c r="P17" i="1"/>
  <c r="P19" i="1"/>
  <c r="P42" i="1"/>
  <c r="P54" i="1"/>
  <c r="Q27" i="1"/>
  <c r="V58" i="5"/>
  <c r="V85" i="5"/>
  <c r="V59" i="5"/>
  <c r="V86" i="5"/>
  <c r="V21" i="5"/>
  <c r="V22" i="5"/>
  <c r="V23" i="5"/>
  <c r="V17" i="5"/>
  <c r="V28" i="5"/>
  <c r="V60" i="5"/>
  <c r="V87" i="5"/>
  <c r="V61" i="5"/>
  <c r="V88" i="5"/>
  <c r="V62" i="5"/>
  <c r="V89" i="5"/>
  <c r="V63" i="5"/>
  <c r="V90" i="5"/>
  <c r="V91" i="5"/>
  <c r="Q28" i="1"/>
  <c r="V64" i="5"/>
  <c r="Q26" i="1"/>
  <c r="V98" i="5"/>
  <c r="V99" i="5"/>
  <c r="V100" i="5"/>
  <c r="V101" i="5"/>
  <c r="V102" i="5"/>
  <c r="V103" i="5"/>
  <c r="V104" i="5"/>
  <c r="Q29" i="1"/>
  <c r="Q30" i="1"/>
  <c r="Q31" i="1"/>
  <c r="Q33" i="1"/>
  <c r="Q34" i="1"/>
  <c r="Q35" i="1"/>
  <c r="Q37" i="1"/>
  <c r="Q38" i="1"/>
  <c r="Q39" i="1"/>
  <c r="Q32" i="1"/>
  <c r="Q40" i="1"/>
  <c r="Q9" i="1"/>
  <c r="Q14" i="1"/>
  <c r="Q11" i="1"/>
  <c r="Q12" i="1"/>
  <c r="Q16" i="1"/>
  <c r="Q17" i="1"/>
  <c r="Q19" i="1"/>
  <c r="Q42" i="1"/>
  <c r="Q54" i="1"/>
  <c r="R27" i="1"/>
  <c r="W58" i="5"/>
  <c r="W85" i="5"/>
  <c r="W59" i="5"/>
  <c r="W86" i="5"/>
  <c r="W21" i="5"/>
  <c r="W22" i="5"/>
  <c r="W23" i="5"/>
  <c r="W17" i="5"/>
  <c r="W28" i="5"/>
  <c r="W60" i="5"/>
  <c r="W87" i="5"/>
  <c r="W61" i="5"/>
  <c r="W88" i="5"/>
  <c r="W62" i="5"/>
  <c r="W89" i="5"/>
  <c r="W63" i="5"/>
  <c r="W90" i="5"/>
  <c r="W91" i="5"/>
  <c r="R28" i="1"/>
  <c r="W64" i="5"/>
  <c r="R26" i="1"/>
  <c r="W98" i="5"/>
  <c r="W99" i="5"/>
  <c r="W100" i="5"/>
  <c r="W101" i="5"/>
  <c r="W102" i="5"/>
  <c r="W103" i="5"/>
  <c r="W104" i="5"/>
  <c r="R29" i="1"/>
  <c r="R30" i="1"/>
  <c r="R31" i="1"/>
  <c r="R33" i="1"/>
  <c r="R34" i="1"/>
  <c r="R35" i="1"/>
  <c r="R37" i="1"/>
  <c r="R38" i="1"/>
  <c r="R39" i="1"/>
  <c r="R32" i="1"/>
  <c r="R40" i="1"/>
  <c r="R9" i="1"/>
  <c r="R10" i="1"/>
  <c r="R14" i="1"/>
  <c r="R11" i="1"/>
  <c r="R12" i="1"/>
  <c r="R16" i="1"/>
  <c r="R17" i="1"/>
  <c r="R19" i="1"/>
  <c r="R42" i="1"/>
  <c r="R54" i="1"/>
  <c r="S54" i="1"/>
  <c r="S55" i="1"/>
  <c r="S56" i="1"/>
  <c r="S58" i="1"/>
  <c r="M58" i="1"/>
  <c r="G58" i="1"/>
  <c r="S42" i="1"/>
  <c r="S45" i="1"/>
  <c r="M42" i="1"/>
  <c r="M45" i="1"/>
  <c r="G42" i="1"/>
  <c r="G45" i="1"/>
  <c r="O25" i="4"/>
  <c r="P25" i="4"/>
  <c r="Q25" i="4"/>
  <c r="R25" i="4"/>
  <c r="S25" i="4"/>
  <c r="I25" i="4"/>
  <c r="J25" i="4"/>
  <c r="K25" i="4"/>
  <c r="L25" i="4"/>
  <c r="M25" i="4"/>
  <c r="C25" i="4"/>
  <c r="D25" i="4"/>
  <c r="E25" i="4"/>
  <c r="F25" i="4"/>
  <c r="G25" i="4"/>
  <c r="Q3" i="5"/>
  <c r="W3" i="5"/>
  <c r="W7" i="5"/>
  <c r="W8" i="5"/>
  <c r="W9" i="5"/>
  <c r="W12" i="5"/>
  <c r="W13" i="5"/>
  <c r="W14" i="5"/>
  <c r="W15" i="5"/>
  <c r="W16" i="5"/>
  <c r="W19" i="5"/>
  <c r="W27" i="5"/>
  <c r="W30" i="5"/>
  <c r="W31" i="5"/>
  <c r="W32" i="5"/>
  <c r="W33" i="5"/>
  <c r="W34" i="5"/>
  <c r="W35" i="5"/>
  <c r="W40" i="5"/>
  <c r="W41" i="5"/>
  <c r="W43" i="5"/>
  <c r="W45" i="5"/>
  <c r="W46" i="5"/>
  <c r="W50" i="5"/>
  <c r="R17" i="4"/>
  <c r="S17" i="4"/>
  <c r="P3" i="5"/>
  <c r="V3" i="5"/>
  <c r="V7" i="5"/>
  <c r="V8" i="5"/>
  <c r="V9" i="5"/>
  <c r="V12" i="5"/>
  <c r="V13" i="5"/>
  <c r="V14" i="5"/>
  <c r="V15" i="5"/>
  <c r="V16" i="5"/>
  <c r="V19" i="5"/>
  <c r="V27" i="5"/>
  <c r="V30" i="5"/>
  <c r="V31" i="5"/>
  <c r="V32" i="5"/>
  <c r="V33" i="5"/>
  <c r="V34" i="5"/>
  <c r="V35" i="5"/>
  <c r="V40" i="5"/>
  <c r="V41" i="5"/>
  <c r="V43" i="5"/>
  <c r="V45" i="5"/>
  <c r="V46" i="5"/>
  <c r="V50" i="5"/>
  <c r="Q17" i="4"/>
  <c r="O3" i="5"/>
  <c r="U3" i="5"/>
  <c r="U7" i="5"/>
  <c r="U8" i="5"/>
  <c r="U9" i="5"/>
  <c r="U12" i="5"/>
  <c r="U13" i="5"/>
  <c r="U14" i="5"/>
  <c r="U15" i="5"/>
  <c r="U16" i="5"/>
  <c r="U19" i="5"/>
  <c r="U27" i="5"/>
  <c r="U30" i="5"/>
  <c r="U31" i="5"/>
  <c r="U32" i="5"/>
  <c r="U33" i="5"/>
  <c r="U34" i="5"/>
  <c r="U35" i="5"/>
  <c r="U40" i="5"/>
  <c r="U41" i="5"/>
  <c r="U43" i="5"/>
  <c r="U45" i="5"/>
  <c r="U46" i="5"/>
  <c r="U50" i="5"/>
  <c r="P17" i="4"/>
  <c r="N3" i="5"/>
  <c r="T3" i="5"/>
  <c r="T7" i="5"/>
  <c r="T8" i="5"/>
  <c r="T9" i="5"/>
  <c r="T12" i="5"/>
  <c r="T13" i="5"/>
  <c r="T14" i="5"/>
  <c r="T15" i="5"/>
  <c r="T16" i="5"/>
  <c r="T19" i="5"/>
  <c r="T27" i="5"/>
  <c r="T30" i="5"/>
  <c r="T31" i="5"/>
  <c r="T32" i="5"/>
  <c r="T33" i="5"/>
  <c r="T34" i="5"/>
  <c r="T35" i="5"/>
  <c r="T40" i="5"/>
  <c r="T41" i="5"/>
  <c r="T43" i="5"/>
  <c r="T45" i="5"/>
  <c r="T46" i="5"/>
  <c r="T50" i="5"/>
  <c r="O17" i="4"/>
  <c r="R16" i="4"/>
  <c r="S16" i="4"/>
  <c r="Q16" i="4"/>
  <c r="P16" i="4"/>
  <c r="O16" i="4"/>
  <c r="Q7" i="5"/>
  <c r="Q8" i="5"/>
  <c r="Q9" i="5"/>
  <c r="Q12" i="5"/>
  <c r="Q13" i="5"/>
  <c r="Q14" i="5"/>
  <c r="Q15" i="5"/>
  <c r="Q16" i="5"/>
  <c r="Q19" i="5"/>
  <c r="Q27" i="5"/>
  <c r="Q30" i="5"/>
  <c r="Q31" i="5"/>
  <c r="Q32" i="5"/>
  <c r="Q33" i="5"/>
  <c r="Q34" i="5"/>
  <c r="Q35" i="5"/>
  <c r="Q40" i="5"/>
  <c r="Q41" i="5"/>
  <c r="Q43" i="5"/>
  <c r="Q45" i="5"/>
  <c r="Q46" i="5"/>
  <c r="Q50" i="5"/>
  <c r="L17" i="4"/>
  <c r="M17" i="4"/>
  <c r="P7" i="5"/>
  <c r="P8" i="5"/>
  <c r="P9" i="5"/>
  <c r="P12" i="5"/>
  <c r="P13" i="5"/>
  <c r="P14" i="5"/>
  <c r="P15" i="5"/>
  <c r="P16" i="5"/>
  <c r="P19" i="5"/>
  <c r="P27" i="5"/>
  <c r="P30" i="5"/>
  <c r="P31" i="5"/>
  <c r="P32" i="5"/>
  <c r="P33" i="5"/>
  <c r="P34" i="5"/>
  <c r="P35" i="5"/>
  <c r="P40" i="5"/>
  <c r="P41" i="5"/>
  <c r="P43" i="5"/>
  <c r="P45" i="5"/>
  <c r="P46" i="5"/>
  <c r="P50" i="5"/>
  <c r="K17" i="4"/>
  <c r="O7" i="5"/>
  <c r="O8" i="5"/>
  <c r="O9" i="5"/>
  <c r="O12" i="5"/>
  <c r="O13" i="5"/>
  <c r="O14" i="5"/>
  <c r="O15" i="5"/>
  <c r="O16" i="5"/>
  <c r="O19" i="5"/>
  <c r="O27" i="5"/>
  <c r="O30" i="5"/>
  <c r="O31" i="5"/>
  <c r="O32" i="5"/>
  <c r="O33" i="5"/>
  <c r="O34" i="5"/>
  <c r="O35" i="5"/>
  <c r="O40" i="5"/>
  <c r="O41" i="5"/>
  <c r="O43" i="5"/>
  <c r="O45" i="5"/>
  <c r="O46" i="5"/>
  <c r="O50" i="5"/>
  <c r="J17" i="4"/>
  <c r="N7" i="5"/>
  <c r="N8" i="5"/>
  <c r="N9" i="5"/>
  <c r="N12" i="5"/>
  <c r="N13" i="5"/>
  <c r="N14" i="5"/>
  <c r="N15" i="5"/>
  <c r="N16" i="5"/>
  <c r="N19" i="5"/>
  <c r="N27" i="5"/>
  <c r="N30" i="5"/>
  <c r="N31" i="5"/>
  <c r="N32" i="5"/>
  <c r="N33" i="5"/>
  <c r="N34" i="5"/>
  <c r="N35" i="5"/>
  <c r="N40" i="5"/>
  <c r="N41" i="5"/>
  <c r="N43" i="5"/>
  <c r="N45" i="5"/>
  <c r="N46" i="5"/>
  <c r="N50" i="5"/>
  <c r="I17" i="4"/>
  <c r="L16" i="4"/>
  <c r="M16" i="4"/>
  <c r="K16" i="4"/>
  <c r="J16" i="4"/>
  <c r="I16" i="4"/>
  <c r="K7" i="5"/>
  <c r="K8" i="5"/>
  <c r="K9" i="5"/>
  <c r="K12" i="5"/>
  <c r="K13" i="5"/>
  <c r="K14" i="5"/>
  <c r="K15" i="5"/>
  <c r="K16" i="5"/>
  <c r="K19" i="5"/>
  <c r="K27" i="5"/>
  <c r="K30" i="5"/>
  <c r="K31" i="5"/>
  <c r="K32" i="5"/>
  <c r="K33" i="5"/>
  <c r="K34" i="5"/>
  <c r="K35" i="5"/>
  <c r="K40" i="5"/>
  <c r="K41" i="5"/>
  <c r="K43" i="5"/>
  <c r="K45" i="5"/>
  <c r="K46" i="5"/>
  <c r="K50" i="5"/>
  <c r="F17" i="4"/>
  <c r="G17" i="4"/>
  <c r="F16" i="4"/>
  <c r="G16" i="4"/>
  <c r="D16" i="4"/>
  <c r="E16" i="4"/>
  <c r="I7" i="5"/>
  <c r="I8" i="5"/>
  <c r="I9" i="5"/>
  <c r="I12" i="5"/>
  <c r="I13" i="5"/>
  <c r="I14" i="5"/>
  <c r="I15" i="5"/>
  <c r="I16" i="5"/>
  <c r="I19" i="5"/>
  <c r="I27" i="5"/>
  <c r="I30" i="5"/>
  <c r="I31" i="5"/>
  <c r="I32" i="5"/>
  <c r="I33" i="5"/>
  <c r="I34" i="5"/>
  <c r="I35" i="5"/>
  <c r="I40" i="5"/>
  <c r="I41" i="5"/>
  <c r="I43" i="5"/>
  <c r="I45" i="5"/>
  <c r="I46" i="5"/>
  <c r="I50" i="5"/>
  <c r="D17" i="4"/>
  <c r="J7" i="5"/>
  <c r="J8" i="5"/>
  <c r="J9" i="5"/>
  <c r="J12" i="5"/>
  <c r="J13" i="5"/>
  <c r="J14" i="5"/>
  <c r="J15" i="5"/>
  <c r="J16" i="5"/>
  <c r="J19" i="5"/>
  <c r="J27" i="5"/>
  <c r="J30" i="5"/>
  <c r="J31" i="5"/>
  <c r="J32" i="5"/>
  <c r="J33" i="5"/>
  <c r="J34" i="5"/>
  <c r="J35" i="5"/>
  <c r="J40" i="5"/>
  <c r="J41" i="5"/>
  <c r="J43" i="5"/>
  <c r="J45" i="5"/>
  <c r="J46" i="5"/>
  <c r="J50" i="5"/>
  <c r="E17" i="4"/>
  <c r="H7" i="5"/>
  <c r="H8" i="5"/>
  <c r="H9" i="5"/>
  <c r="H12" i="5"/>
  <c r="H13" i="5"/>
  <c r="H14" i="5"/>
  <c r="H15" i="5"/>
  <c r="H16" i="5"/>
  <c r="H19" i="5"/>
  <c r="H27" i="5"/>
  <c r="H30" i="5"/>
  <c r="H31" i="5"/>
  <c r="H32" i="5"/>
  <c r="H33" i="5"/>
  <c r="H34" i="5"/>
  <c r="H35" i="5"/>
  <c r="H40" i="5"/>
  <c r="H41" i="5"/>
  <c r="H43" i="5"/>
  <c r="H45" i="5"/>
  <c r="H46" i="5"/>
  <c r="H50" i="5"/>
  <c r="C17" i="4"/>
  <c r="C16" i="4"/>
  <c r="B72" i="5"/>
  <c r="B73" i="5"/>
  <c r="B74" i="5"/>
  <c r="B75" i="5"/>
  <c r="B76" i="5"/>
  <c r="B77" i="5"/>
  <c r="I69" i="5"/>
  <c r="I82" i="5"/>
  <c r="I95" i="5"/>
  <c r="J69" i="5"/>
  <c r="J82" i="5"/>
  <c r="J95" i="5"/>
  <c r="K82" i="5"/>
  <c r="K95" i="5"/>
  <c r="O69" i="5"/>
  <c r="O82" i="5"/>
  <c r="O95" i="5"/>
  <c r="P69" i="5"/>
  <c r="P82" i="5"/>
  <c r="P95" i="5"/>
  <c r="Q82" i="5"/>
  <c r="Q95" i="5"/>
  <c r="O56" i="1"/>
  <c r="P53" i="1"/>
  <c r="U69" i="5"/>
  <c r="U82" i="5"/>
  <c r="U95" i="5"/>
  <c r="P56" i="1"/>
  <c r="Q53" i="1"/>
  <c r="V69" i="5"/>
  <c r="V82" i="5"/>
  <c r="V95" i="5"/>
  <c r="Q56" i="1"/>
  <c r="R53" i="1"/>
  <c r="W82" i="5"/>
  <c r="W95" i="5"/>
  <c r="R56" i="1"/>
  <c r="R23" i="4"/>
  <c r="S23" i="4"/>
  <c r="Q23" i="4"/>
  <c r="P23" i="4"/>
  <c r="O23" i="4"/>
  <c r="I56" i="1"/>
  <c r="J53" i="1"/>
  <c r="J56" i="1"/>
  <c r="K53" i="1"/>
  <c r="K56" i="1"/>
  <c r="L53" i="1"/>
  <c r="L56" i="1"/>
  <c r="L23" i="4"/>
  <c r="M23" i="4"/>
  <c r="K23" i="4"/>
  <c r="J23" i="4"/>
  <c r="I23" i="4"/>
  <c r="C56" i="1"/>
  <c r="D53" i="1"/>
  <c r="D56" i="1"/>
  <c r="E53" i="1"/>
  <c r="E56" i="1"/>
  <c r="F53" i="1"/>
  <c r="F56" i="1"/>
  <c r="F23" i="4"/>
  <c r="G23" i="4"/>
  <c r="D23" i="4"/>
  <c r="E23" i="4"/>
  <c r="C23" i="4"/>
  <c r="O8" i="4"/>
  <c r="O9" i="4"/>
  <c r="O10" i="4"/>
  <c r="P8" i="4"/>
  <c r="P9" i="4"/>
  <c r="P10" i="4"/>
  <c r="Q8" i="4"/>
  <c r="Q9" i="4"/>
  <c r="Q10" i="4"/>
  <c r="R8" i="4"/>
  <c r="R9" i="4"/>
  <c r="R10" i="4"/>
  <c r="S10" i="4"/>
  <c r="S9" i="4"/>
  <c r="S8" i="4"/>
  <c r="I8" i="4"/>
  <c r="I9" i="4"/>
  <c r="I10" i="4"/>
  <c r="J8" i="4"/>
  <c r="J9" i="4"/>
  <c r="J10" i="4"/>
  <c r="K8" i="4"/>
  <c r="K9" i="4"/>
  <c r="K10" i="4"/>
  <c r="L8" i="4"/>
  <c r="L9" i="4"/>
  <c r="L10" i="4"/>
  <c r="M10" i="4"/>
  <c r="M9" i="4"/>
  <c r="M8" i="4"/>
  <c r="D8" i="4"/>
  <c r="D9" i="4"/>
  <c r="D10" i="4"/>
  <c r="E8" i="4"/>
  <c r="E9" i="4"/>
  <c r="E10" i="4"/>
  <c r="F8" i="4"/>
  <c r="F9" i="4"/>
  <c r="F10" i="4"/>
  <c r="C8" i="4"/>
  <c r="C9" i="4"/>
  <c r="C10" i="4"/>
  <c r="G9" i="4"/>
  <c r="G10" i="4"/>
  <c r="G8" i="4"/>
  <c r="R46" i="1"/>
  <c r="Q46" i="1"/>
  <c r="P46" i="1"/>
  <c r="O46" i="1"/>
  <c r="L46" i="1"/>
  <c r="K46" i="1"/>
  <c r="J46" i="1"/>
  <c r="I46" i="1"/>
  <c r="F46" i="1"/>
  <c r="E46" i="1"/>
  <c r="D46" i="1"/>
  <c r="C46" i="1"/>
  <c r="C59" i="1"/>
  <c r="R59" i="1"/>
  <c r="Q59" i="1"/>
  <c r="P59" i="1"/>
  <c r="O59" i="1"/>
  <c r="L59" i="1"/>
  <c r="K59" i="1"/>
  <c r="J59" i="1"/>
  <c r="I59" i="1"/>
  <c r="F59" i="1"/>
  <c r="E59" i="1"/>
  <c r="D59" i="1"/>
  <c r="C45" i="1"/>
  <c r="D45" i="1"/>
  <c r="E45" i="1"/>
  <c r="F45" i="1"/>
  <c r="I45" i="1"/>
  <c r="J45" i="1"/>
  <c r="K45" i="1"/>
  <c r="L45" i="1"/>
  <c r="O45" i="1"/>
  <c r="P45" i="1"/>
  <c r="Q45" i="1"/>
  <c r="R45" i="1"/>
  <c r="B69" i="1"/>
  <c r="C58" i="1"/>
  <c r="D58" i="1"/>
  <c r="E58" i="1"/>
  <c r="F58" i="1"/>
  <c r="I58" i="1"/>
  <c r="J58" i="1"/>
  <c r="K58" i="1"/>
  <c r="L58" i="1"/>
  <c r="O58" i="1"/>
  <c r="P58" i="1"/>
  <c r="Q58" i="1"/>
  <c r="R58" i="1"/>
  <c r="B64" i="1"/>
  <c r="B63" i="1"/>
  <c r="R78" i="5"/>
  <c r="R77" i="5"/>
  <c r="R76" i="5"/>
  <c r="R75" i="5"/>
  <c r="R74" i="5"/>
  <c r="R73" i="5"/>
  <c r="R72" i="5"/>
  <c r="T47" i="5"/>
  <c r="U47" i="5"/>
  <c r="V47" i="5"/>
  <c r="W47" i="5"/>
  <c r="X64" i="5"/>
  <c r="X63" i="5"/>
  <c r="X62" i="5"/>
  <c r="X61" i="5"/>
  <c r="X60" i="5"/>
  <c r="X59" i="5"/>
  <c r="X58" i="5"/>
  <c r="N47" i="5"/>
  <c r="O47" i="5"/>
  <c r="P47" i="5"/>
  <c r="Q47" i="5"/>
  <c r="R64" i="5"/>
  <c r="R63" i="5"/>
  <c r="R62" i="5"/>
  <c r="R61" i="5"/>
  <c r="R60" i="5"/>
  <c r="R59" i="5"/>
  <c r="R58" i="5"/>
  <c r="X47" i="5"/>
  <c r="X46" i="5"/>
  <c r="X45" i="5"/>
  <c r="X43" i="5"/>
  <c r="X41" i="5"/>
  <c r="X40" i="5"/>
  <c r="X35" i="5"/>
  <c r="X34" i="5"/>
  <c r="X33" i="5"/>
  <c r="X32" i="5"/>
  <c r="X31" i="5"/>
  <c r="X30" i="5"/>
  <c r="X28" i="5"/>
  <c r="X27" i="5"/>
  <c r="X23" i="5"/>
  <c r="X22" i="5"/>
  <c r="X21" i="5"/>
  <c r="X19" i="5"/>
  <c r="X17" i="5"/>
  <c r="X16" i="5"/>
  <c r="X15" i="5"/>
  <c r="X14" i="5"/>
  <c r="X13" i="5"/>
  <c r="X12" i="5"/>
  <c r="X9" i="5"/>
  <c r="X8" i="5"/>
  <c r="X7" i="5"/>
  <c r="R27" i="5"/>
  <c r="R28" i="5"/>
  <c r="R30" i="5"/>
  <c r="R31" i="5"/>
  <c r="R32" i="5"/>
  <c r="R33" i="5"/>
  <c r="R34" i="5"/>
  <c r="R35" i="5"/>
  <c r="R40" i="5"/>
  <c r="R41" i="5"/>
  <c r="R43" i="5"/>
  <c r="R45" i="5"/>
  <c r="R46" i="5"/>
  <c r="S19" i="1"/>
  <c r="M19" i="1"/>
  <c r="S16" i="1"/>
  <c r="M16" i="1"/>
  <c r="G16" i="1"/>
  <c r="S29" i="1"/>
  <c r="S28" i="1"/>
  <c r="S27" i="1"/>
  <c r="S26" i="1"/>
  <c r="M29" i="1"/>
  <c r="M28" i="1"/>
  <c r="M27" i="1"/>
  <c r="M26" i="1"/>
  <c r="G27" i="1"/>
  <c r="H47" i="5"/>
  <c r="I47" i="5"/>
  <c r="J47" i="5"/>
  <c r="K47" i="5"/>
  <c r="G28" i="1"/>
  <c r="G29" i="1"/>
  <c r="X88" i="5"/>
  <c r="R88" i="5"/>
  <c r="L28" i="5"/>
  <c r="L30" i="5"/>
  <c r="L31" i="5"/>
  <c r="L32" i="5"/>
  <c r="L33" i="5"/>
  <c r="L34" i="5"/>
  <c r="L35" i="5"/>
  <c r="L40" i="5"/>
  <c r="L41" i="5"/>
  <c r="L43" i="5"/>
  <c r="L45" i="5"/>
  <c r="L46" i="5"/>
  <c r="L27" i="5"/>
  <c r="X104" i="5"/>
  <c r="R104" i="5"/>
  <c r="L104" i="5"/>
  <c r="B104" i="5"/>
  <c r="X103" i="5"/>
  <c r="R103" i="5"/>
  <c r="L103" i="5"/>
  <c r="B103" i="5"/>
  <c r="X102" i="5"/>
  <c r="R102" i="5"/>
  <c r="L102" i="5"/>
  <c r="B102" i="5"/>
  <c r="X101" i="5"/>
  <c r="R101" i="5"/>
  <c r="L101" i="5"/>
  <c r="B101" i="5"/>
  <c r="X100" i="5"/>
  <c r="R100" i="5"/>
  <c r="L100" i="5"/>
  <c r="B100" i="5"/>
  <c r="X99" i="5"/>
  <c r="R99" i="5"/>
  <c r="L99" i="5"/>
  <c r="B99" i="5"/>
  <c r="X98" i="5"/>
  <c r="R98" i="5"/>
  <c r="L98" i="5"/>
  <c r="B98" i="5"/>
  <c r="X95" i="5"/>
  <c r="L64" i="5"/>
  <c r="X91" i="5"/>
  <c r="R91" i="5"/>
  <c r="L91" i="5"/>
  <c r="B91" i="5"/>
  <c r="X90" i="5"/>
  <c r="R90" i="5"/>
  <c r="L90" i="5"/>
  <c r="B90" i="5"/>
  <c r="X89" i="5"/>
  <c r="R89" i="5"/>
  <c r="L89" i="5"/>
  <c r="B89" i="5"/>
  <c r="L88" i="5"/>
  <c r="B88" i="5"/>
  <c r="X87" i="5"/>
  <c r="R87" i="5"/>
  <c r="L87" i="5"/>
  <c r="B87" i="5"/>
  <c r="X86" i="5"/>
  <c r="R86" i="5"/>
  <c r="L86" i="5"/>
  <c r="B86" i="5"/>
  <c r="X85" i="5"/>
  <c r="R85" i="5"/>
  <c r="L85" i="5"/>
  <c r="B85" i="5"/>
  <c r="L78" i="5"/>
  <c r="B78" i="5"/>
  <c r="L77" i="5"/>
  <c r="L76" i="5"/>
  <c r="L75" i="5"/>
  <c r="L74" i="5"/>
  <c r="L73" i="5"/>
  <c r="L72" i="5"/>
  <c r="X65" i="5"/>
  <c r="W65" i="5"/>
  <c r="V65" i="5"/>
  <c r="U65" i="5"/>
  <c r="T65" i="5"/>
  <c r="R47" i="5"/>
  <c r="R65" i="5"/>
  <c r="Q65" i="5"/>
  <c r="P65" i="5"/>
  <c r="O65" i="5"/>
  <c r="N65" i="5"/>
  <c r="L47" i="5"/>
  <c r="L65" i="5"/>
  <c r="K65" i="5"/>
  <c r="J65" i="5"/>
  <c r="I65" i="5"/>
  <c r="H65" i="5"/>
  <c r="B64" i="5"/>
  <c r="L63" i="5"/>
  <c r="L62" i="5"/>
  <c r="L61" i="5"/>
  <c r="L60" i="5"/>
  <c r="L59" i="5"/>
  <c r="L58" i="5"/>
  <c r="X50" i="5"/>
  <c r="R50" i="5"/>
  <c r="L50" i="5"/>
  <c r="R23" i="5"/>
  <c r="L23" i="5"/>
  <c r="R22" i="5"/>
  <c r="L22" i="5"/>
  <c r="R21" i="5"/>
  <c r="L21" i="5"/>
  <c r="R19" i="5"/>
  <c r="L19" i="5"/>
  <c r="R12" i="5"/>
  <c r="L12" i="5"/>
  <c r="R13" i="5"/>
  <c r="L13" i="5"/>
  <c r="R17" i="5"/>
  <c r="L17" i="5"/>
  <c r="R16" i="5"/>
  <c r="L16" i="5"/>
  <c r="R15" i="5"/>
  <c r="L15" i="5"/>
  <c r="R14" i="5"/>
  <c r="L14" i="5"/>
  <c r="R9" i="5"/>
  <c r="L9" i="5"/>
  <c r="R8" i="5"/>
  <c r="L8" i="5"/>
  <c r="R7" i="5"/>
  <c r="L7" i="5"/>
  <c r="S9" i="1"/>
  <c r="M9" i="1"/>
  <c r="G9" i="1"/>
  <c r="S14" i="1"/>
  <c r="M14" i="1"/>
  <c r="G14" i="1"/>
  <c r="S40" i="1"/>
  <c r="M40" i="1"/>
  <c r="G19" i="1"/>
  <c r="G40" i="1"/>
  <c r="S39" i="1"/>
  <c r="M39" i="1"/>
  <c r="G39" i="1"/>
  <c r="S38" i="1"/>
  <c r="M38" i="1"/>
  <c r="G38" i="1"/>
  <c r="S37" i="1"/>
  <c r="M37" i="1"/>
  <c r="G37" i="1"/>
  <c r="S36" i="1"/>
  <c r="M36" i="1"/>
  <c r="G36" i="1"/>
  <c r="S35" i="1"/>
  <c r="M35" i="1"/>
  <c r="G35" i="1"/>
  <c r="S34" i="1"/>
  <c r="M34" i="1"/>
  <c r="G34" i="1"/>
  <c r="S33" i="1"/>
  <c r="M33" i="1"/>
  <c r="G33" i="1"/>
  <c r="S32" i="1"/>
  <c r="M32" i="1"/>
  <c r="G32" i="1"/>
  <c r="S31" i="1"/>
  <c r="M31" i="1"/>
  <c r="G31" i="1"/>
  <c r="S30" i="1"/>
  <c r="M30" i="1"/>
  <c r="G30" i="1"/>
  <c r="G26" i="1"/>
  <c r="S17" i="1"/>
  <c r="M17" i="1"/>
  <c r="G17" i="1"/>
  <c r="S12" i="1"/>
  <c r="M12" i="1"/>
  <c r="G12" i="1"/>
  <c r="S11" i="1"/>
  <c r="M11" i="1"/>
  <c r="G11" i="1"/>
  <c r="S10" i="1"/>
  <c r="M10" i="1"/>
  <c r="G10" i="1"/>
</calcChain>
</file>

<file path=xl/sharedStrings.xml><?xml version="1.0" encoding="utf-8"?>
<sst xmlns="http://schemas.openxmlformats.org/spreadsheetml/2006/main" count="209" uniqueCount="102">
  <si>
    <t>($USD)</t>
  </si>
  <si>
    <t>Q1</t>
  </si>
  <si>
    <t>Q2</t>
  </si>
  <si>
    <t>Q3</t>
  </si>
  <si>
    <t>Q4</t>
  </si>
  <si>
    <t>Full Year</t>
  </si>
  <si>
    <t>Revenue</t>
  </si>
  <si>
    <t>Software Subscriptions</t>
  </si>
  <si>
    <t>Beginning # of Subscriptions</t>
  </si>
  <si>
    <t>Less: Attrition</t>
  </si>
  <si>
    <t>Ending # of Subscriptions</t>
  </si>
  <si>
    <t>Revenue per Active Subscription</t>
  </si>
  <si>
    <t>Subscription Revenue</t>
  </si>
  <si>
    <t>Total Revenue</t>
  </si>
  <si>
    <t>Operating Expenses</t>
  </si>
  <si>
    <t>Personnel</t>
  </si>
  <si>
    <t>Rent</t>
  </si>
  <si>
    <t>Office Expenses</t>
  </si>
  <si>
    <t>Software</t>
  </si>
  <si>
    <t>Sales &amp; Marketing</t>
  </si>
  <si>
    <t>Meals &amp; Entertainment</t>
  </si>
  <si>
    <t>Travel</t>
  </si>
  <si>
    <t>Legal and Professional Services</t>
  </si>
  <si>
    <t>HR and Recruiting</t>
  </si>
  <si>
    <t>Insurance</t>
  </si>
  <si>
    <t>Miscellaneous</t>
  </si>
  <si>
    <t>Total Operating Expenses</t>
  </si>
  <si>
    <t>Income Statement</t>
  </si>
  <si>
    <t>Model</t>
  </si>
  <si>
    <t>Cash Balance</t>
  </si>
  <si>
    <t>Beginning Balance</t>
  </si>
  <si>
    <t>Plus: Net Income</t>
  </si>
  <si>
    <t>Plus: Investment Capital</t>
  </si>
  <si>
    <t>Ending Balance</t>
  </si>
  <si>
    <t>Title</t>
  </si>
  <si>
    <t>Division</t>
  </si>
  <si>
    <t>Start Date</t>
  </si>
  <si>
    <t>End Date</t>
  </si>
  <si>
    <t>Compensation</t>
  </si>
  <si>
    <t>COO</t>
  </si>
  <si>
    <t>Operations Assistant</t>
  </si>
  <si>
    <t>General &amp; Admin</t>
  </si>
  <si>
    <t>Director - Customer Success</t>
  </si>
  <si>
    <t>Customer Success</t>
  </si>
  <si>
    <t>Director - Research</t>
  </si>
  <si>
    <t>Engineering</t>
  </si>
  <si>
    <t>Senior Software Engineer</t>
  </si>
  <si>
    <t>Content Marketing Manager</t>
  </si>
  <si>
    <t>Marketing</t>
  </si>
  <si>
    <t>Director of Sales</t>
  </si>
  <si>
    <t>Sales</t>
  </si>
  <si>
    <t>Software Engineer</t>
  </si>
  <si>
    <t>Product Development - UI/UX</t>
  </si>
  <si>
    <t>Product Development - VP</t>
  </si>
  <si>
    <t>Research - VP</t>
  </si>
  <si>
    <t>Sales Operations</t>
  </si>
  <si>
    <t>Sales Engineer</t>
  </si>
  <si>
    <t>Head of Marketing</t>
  </si>
  <si>
    <t>HR</t>
  </si>
  <si>
    <t># Employees</t>
  </si>
  <si>
    <t>Payroll (Base Salary)</t>
  </si>
  <si>
    <t xml:space="preserve">  Check</t>
  </si>
  <si>
    <t>Payroll Tax (% of Total Cash Comp)</t>
  </si>
  <si>
    <t>Payroll Tax</t>
  </si>
  <si>
    <t>Employee Benefits (% of Base Salaries)</t>
  </si>
  <si>
    <t>Employee Benefits</t>
  </si>
  <si>
    <t>Co-Founder 1</t>
  </si>
  <si>
    <t>Co-Founder 2</t>
  </si>
  <si>
    <t>VP of Sales</t>
  </si>
  <si>
    <t>Sales Rep</t>
  </si>
  <si>
    <t>Head of HR</t>
  </si>
  <si>
    <t>SDR</t>
  </si>
  <si>
    <t>Total Base Salaries</t>
  </si>
  <si>
    <t>Personnel - Base Salaries</t>
  </si>
  <si>
    <t>Personnel - Bonuses</t>
  </si>
  <si>
    <t>Personnel - Payroll Tax</t>
  </si>
  <si>
    <t>Personnel - Benefits</t>
  </si>
  <si>
    <t>Annual Salary Increases (After 2019) -&gt;</t>
  </si>
  <si>
    <t>% of Base Salary Paid as Bonus in Q4</t>
  </si>
  <si>
    <t>Employee Bonuses</t>
  </si>
  <si>
    <t>Plus: New Subscriptions</t>
  </si>
  <si>
    <t>Subscriber Attrition Rate %</t>
  </si>
  <si>
    <t>Net Income (excl Taxes)</t>
  </si>
  <si>
    <t>ADDITIONAL FINANCING REQUIRED?</t>
  </si>
  <si>
    <t>Profitable?</t>
  </si>
  <si>
    <t>FIRST MONTH OF PROFITABILITY</t>
  </si>
  <si>
    <t>Cash Balance Negative?</t>
  </si>
  <si>
    <t># of Employees</t>
  </si>
  <si>
    <t># of Subscribers</t>
  </si>
  <si>
    <t>Model Summary</t>
  </si>
  <si>
    <t>Operating Metrics</t>
  </si>
  <si>
    <t>Cash Summary</t>
  </si>
  <si>
    <t>Investment Capital Raised</t>
  </si>
  <si>
    <t>CFO</t>
  </si>
  <si>
    <t>Fivecast Financial</t>
  </si>
  <si>
    <t>Expert financial modeling</t>
  </si>
  <si>
    <t>contact@fivecastfinancial.com</t>
  </si>
  <si>
    <t>If you find yourself in need of financial modeling help, please feel free to reach out to:</t>
  </si>
  <si>
    <t>You can also learn more about us at:</t>
  </si>
  <si>
    <t>https://www.fivecastfinancial.com/</t>
  </si>
  <si>
    <t>This example model was created by Fivecast Financial Inc. and is free to use. It is intended to be an example only.</t>
  </si>
  <si>
    <t>Note: You can expand the hidden columns by clicking on the "+" in the space between the formula bar and the column letter labels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</si>
</sst>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\(#,##0\);\-"/>
    <numFmt numFmtId="165" formatCode="0.0%_);\(0.0%\);\-"/>
    <numFmt numFmtId="166" formatCode="\$#,###.00;\(\$#,###.00\);\-"/>
    <numFmt numFmtId="167" formatCode="_(* #,##0_);_(* \(#,##0\);_(* &quot;-&quot;??_);_(@_)"/>
    <numFmt numFmtId="168" formatCode="[$-409]mmm\-yy;@"/>
    <numFmt numFmtId="169" formatCode="m/d/yy;@"/>
    <numFmt numFmtId="170" formatCode="_-&quot;$&quot;* #,##0.00_-;\-&quot;$&quot;* #,##0.00_-;_-&quot;$&quot;* &quot;-&quot;??_-;_-@_-"/>
    <numFmt numFmtId="171" formatCode="_-* #,##0.00_-;\-* #,##0.00_-;_-* &quot;-&quot;??_-;_-@_-"/>
  </numFmts>
  <fonts count="37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 Narrow"/>
    </font>
    <font>
      <b/>
      <sz val="11"/>
      <name val="Arial Narrow"/>
    </font>
    <font>
      <i/>
      <sz val="11"/>
      <name val="Arial Narrow"/>
    </font>
    <font>
      <sz val="11"/>
      <color indexed="12"/>
      <name val="Arial Narrow"/>
    </font>
    <font>
      <i/>
      <sz val="11"/>
      <color indexed="12"/>
      <name val="Arial Narrow"/>
    </font>
    <font>
      <sz val="11"/>
      <color indexed="9"/>
      <name val="Arial Narrow"/>
    </font>
    <font>
      <u/>
      <sz val="11"/>
      <name val="Arial Narrow"/>
    </font>
    <font>
      <sz val="16"/>
      <color indexed="9"/>
      <name val="Arial Narrow"/>
    </font>
    <font>
      <sz val="11"/>
      <color indexed="8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indexed="8"/>
      <name val="Calibri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Arial Narrow"/>
    </font>
    <font>
      <sz val="11"/>
      <color theme="1"/>
      <name val="Arial Narrow"/>
    </font>
    <font>
      <b/>
      <sz val="11"/>
      <color theme="1"/>
      <name val="Arial Narrow"/>
    </font>
    <font>
      <b/>
      <sz val="12"/>
      <color theme="1"/>
      <name val="Arial Narrow"/>
    </font>
    <font>
      <sz val="11"/>
      <color theme="4"/>
      <name val="Arial Narrow"/>
    </font>
    <font>
      <u/>
      <sz val="11"/>
      <color theme="1"/>
      <name val="Arial Narrow"/>
    </font>
    <font>
      <i/>
      <sz val="11"/>
      <color theme="0" tint="-0.249977111117893"/>
      <name val="Arial Narrow"/>
    </font>
    <font>
      <sz val="11"/>
      <color theme="2"/>
      <name val="Arial Narrow"/>
    </font>
    <font>
      <sz val="11"/>
      <color theme="9"/>
      <name val="Arial Narrow"/>
    </font>
    <font>
      <b/>
      <sz val="11"/>
      <color indexed="8"/>
      <name val="Arial Narrow"/>
    </font>
    <font>
      <b/>
      <sz val="11"/>
      <color theme="9"/>
      <name val="Arial Narrow"/>
    </font>
    <font>
      <i/>
      <sz val="11"/>
      <color indexed="8"/>
      <name val="Arial Narrow"/>
    </font>
    <font>
      <sz val="12"/>
      <color theme="2" tint="-9.9978637043366805E-2"/>
      <name val="Arial Narrow"/>
    </font>
    <font>
      <b/>
      <u/>
      <sz val="12"/>
      <color theme="1"/>
      <name val="Arial Narrow"/>
    </font>
    <font>
      <sz val="2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indexed="8"/>
      <name val="Calibri"/>
      <family val="2"/>
      <scheme val="minor"/>
    </font>
    <font>
      <sz val="22"/>
      <color theme="3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rgb="FFFF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none">
        <fgColor rgb="FF44546A"/>
      </patternFill>
    </fill>
    <fill>
      <patternFill patternType="solid">
        <fgColor rgb="FF44546A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D3D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3" fillId="3" borderId="0" applyNumberFormat="0" applyFill="0" applyBorder="0" applyProtection="0"/>
    <xf numFmtId="0" fontId="14" fillId="3" borderId="0"/>
    <xf numFmtId="43" fontId="14" fillId="3" borderId="0" applyFont="0" applyFill="0" applyBorder="0" applyAlignment="0" applyProtection="0"/>
    <xf numFmtId="43" fontId="10" fillId="3" borderId="0" applyFont="0" applyFill="0" applyBorder="0" applyAlignment="0" applyProtection="0"/>
    <xf numFmtId="0" fontId="10" fillId="3" borderId="0"/>
    <xf numFmtId="0" fontId="11" fillId="5" borderId="0" applyNumberFormat="0" applyBorder="0" applyAlignment="0" applyProtection="0"/>
    <xf numFmtId="171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4" fillId="3" borderId="0" applyFont="0" applyFill="0" applyBorder="0" applyAlignment="0" applyProtection="0"/>
    <xf numFmtId="0" fontId="12" fillId="6" borderId="0" applyNumberFormat="0" applyBorder="0" applyAlignment="0" applyProtection="0"/>
    <xf numFmtId="0" fontId="1" fillId="3" borderId="0"/>
    <xf numFmtId="0" fontId="13" fillId="3" borderId="0" applyNumberFormat="0" applyFill="0" applyBorder="0" applyProtection="0"/>
    <xf numFmtId="0" fontId="15" fillId="3" borderId="0"/>
    <xf numFmtId="0" fontId="1" fillId="3" borderId="0"/>
    <xf numFmtId="0" fontId="1" fillId="3" borderId="0"/>
    <xf numFmtId="9" fontId="14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77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5" fillId="0" borderId="0" xfId="0" applyNumberFormat="1" applyFont="1"/>
    <xf numFmtId="0" fontId="8" fillId="0" borderId="0" xfId="0" applyFont="1"/>
    <xf numFmtId="0" fontId="9" fillId="4" borderId="0" xfId="0" applyFont="1" applyFill="1"/>
    <xf numFmtId="0" fontId="3" fillId="2" borderId="3" xfId="0" applyFont="1" applyFill="1" applyBorder="1"/>
    <xf numFmtId="164" fontId="3" fillId="0" borderId="1" xfId="0" applyNumberFormat="1" applyFont="1" applyBorder="1"/>
    <xf numFmtId="0" fontId="2" fillId="0" borderId="0" xfId="0" applyFont="1"/>
    <xf numFmtId="0" fontId="4" fillId="0" borderId="0" xfId="0" applyFont="1"/>
    <xf numFmtId="165" fontId="4" fillId="0" borderId="0" xfId="0" applyNumberFormat="1" applyFont="1"/>
    <xf numFmtId="0" fontId="16" fillId="0" borderId="0" xfId="0" applyFont="1"/>
    <xf numFmtId="0" fontId="17" fillId="3" borderId="0" xfId="2" applyFont="1"/>
    <xf numFmtId="0" fontId="17" fillId="3" borderId="0" xfId="2" applyFont="1" applyAlignment="1">
      <alignment horizontal="center"/>
    </xf>
    <xf numFmtId="167" fontId="16" fillId="3" borderId="0" xfId="3" applyNumberFormat="1" applyFont="1"/>
    <xf numFmtId="0" fontId="18" fillId="3" borderId="0" xfId="2" applyFont="1"/>
    <xf numFmtId="0" fontId="18" fillId="3" borderId="0" xfId="2" applyFont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0" xfId="0" applyFont="1" applyAlignment="1">
      <alignment horizontal="center"/>
    </xf>
    <xf numFmtId="0" fontId="18" fillId="3" borderId="4" xfId="2" applyFont="1" applyBorder="1" applyAlignment="1">
      <alignment horizontal="center"/>
    </xf>
    <xf numFmtId="0" fontId="3" fillId="3" borderId="4" xfId="2" applyFont="1" applyBorder="1" applyAlignment="1">
      <alignment horizontal="center"/>
    </xf>
    <xf numFmtId="0" fontId="2" fillId="3" borderId="0" xfId="2" applyFont="1" applyFill="1" applyBorder="1" applyAlignment="1">
      <alignment horizontal="center"/>
    </xf>
    <xf numFmtId="167" fontId="16" fillId="3" borderId="0" xfId="3" applyNumberFormat="1" applyFont="1" applyFill="1" applyBorder="1" applyAlignment="1">
      <alignment horizontal="center"/>
    </xf>
    <xf numFmtId="168" fontId="17" fillId="3" borderId="0" xfId="2" applyNumberFormat="1" applyFont="1" applyFill="1" applyBorder="1" applyAlignment="1">
      <alignment horizontal="center"/>
    </xf>
    <xf numFmtId="0" fontId="17" fillId="3" borderId="0" xfId="2" applyFont="1" applyFill="1"/>
    <xf numFmtId="0" fontId="20" fillId="3" borderId="0" xfId="2" applyFont="1"/>
    <xf numFmtId="169" fontId="20" fillId="3" borderId="0" xfId="2" applyNumberFormat="1" applyFont="1" applyFill="1" applyAlignment="1">
      <alignment horizontal="center"/>
    </xf>
    <xf numFmtId="169" fontId="20" fillId="3" borderId="0" xfId="2" applyNumberFormat="1" applyFont="1" applyAlignment="1">
      <alignment horizontal="center"/>
    </xf>
    <xf numFmtId="167" fontId="16" fillId="3" borderId="0" xfId="4" applyNumberFormat="1" applyFont="1"/>
    <xf numFmtId="0" fontId="20" fillId="3" borderId="0" xfId="2" applyFont="1" applyFill="1" applyBorder="1" applyAlignment="1">
      <alignment vertical="center" wrapText="1"/>
    </xf>
    <xf numFmtId="0" fontId="18" fillId="3" borderId="1" xfId="2" applyFont="1" applyBorder="1"/>
    <xf numFmtId="0" fontId="17" fillId="3" borderId="1" xfId="2" applyFont="1" applyBorder="1"/>
    <xf numFmtId="0" fontId="17" fillId="3" borderId="1" xfId="2" applyFont="1" applyBorder="1" applyAlignment="1">
      <alignment horizontal="center"/>
    </xf>
    <xf numFmtId="167" fontId="16" fillId="3" borderId="1" xfId="3" applyNumberFormat="1" applyFont="1" applyBorder="1"/>
    <xf numFmtId="167" fontId="18" fillId="3" borderId="1" xfId="2" applyNumberFormat="1" applyFont="1" applyBorder="1"/>
    <xf numFmtId="0" fontId="17" fillId="3" borderId="0" xfId="2" applyFont="1" applyBorder="1"/>
    <xf numFmtId="169" fontId="17" fillId="3" borderId="0" xfId="2" applyNumberFormat="1" applyFont="1" applyBorder="1" applyAlignment="1">
      <alignment horizontal="center"/>
    </xf>
    <xf numFmtId="167" fontId="16" fillId="3" borderId="0" xfId="3" applyNumberFormat="1" applyFont="1" applyBorder="1"/>
    <xf numFmtId="167" fontId="17" fillId="3" borderId="0" xfId="2" applyNumberFormat="1" applyFont="1" applyBorder="1"/>
    <xf numFmtId="0" fontId="17" fillId="3" borderId="0" xfId="2" applyFont="1" applyBorder="1" applyAlignment="1">
      <alignment horizontal="center"/>
    </xf>
    <xf numFmtId="0" fontId="21" fillId="3" borderId="0" xfId="2" applyFont="1"/>
    <xf numFmtId="0" fontId="18" fillId="3" borderId="1" xfId="2" applyFont="1" applyBorder="1" applyAlignment="1">
      <alignment horizontal="center"/>
    </xf>
    <xf numFmtId="0" fontId="22" fillId="3" borderId="0" xfId="5" applyFont="1" applyAlignment="1"/>
    <xf numFmtId="170" fontId="22" fillId="3" borderId="0" xfId="5" applyNumberFormat="1" applyFont="1"/>
    <xf numFmtId="10" fontId="17" fillId="3" borderId="0" xfId="2" applyNumberFormat="1" applyFont="1"/>
    <xf numFmtId="14" fontId="23" fillId="3" borderId="0" xfId="2" applyNumberFormat="1" applyFont="1"/>
    <xf numFmtId="9" fontId="20" fillId="3" borderId="0" xfId="2" applyNumberFormat="1" applyFont="1"/>
    <xf numFmtId="164" fontId="24" fillId="0" borderId="0" xfId="0" applyNumberFormat="1" applyFont="1"/>
    <xf numFmtId="0" fontId="17" fillId="3" borderId="0" xfId="2" applyFont="1" applyAlignment="1">
      <alignment horizontal="right"/>
    </xf>
    <xf numFmtId="9" fontId="20" fillId="3" borderId="4" xfId="2" applyNumberFormat="1" applyFont="1" applyBorder="1" applyAlignment="1">
      <alignment horizontal="center"/>
    </xf>
    <xf numFmtId="167" fontId="25" fillId="3" borderId="1" xfId="4" applyNumberFormat="1" applyFont="1" applyBorder="1"/>
    <xf numFmtId="164" fontId="26" fillId="0" borderId="0" xfId="0" applyNumberFormat="1" applyFont="1"/>
    <xf numFmtId="164" fontId="16" fillId="0" borderId="0" xfId="0" applyNumberFormat="1" applyFont="1"/>
    <xf numFmtId="0" fontId="25" fillId="0" borderId="0" xfId="0" applyFont="1"/>
    <xf numFmtId="164" fontId="2" fillId="0" borderId="1" xfId="0" applyNumberFormat="1" applyFont="1" applyBorder="1"/>
    <xf numFmtId="165" fontId="6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7" fillId="4" borderId="0" xfId="0" applyFont="1" applyFill="1"/>
    <xf numFmtId="167" fontId="25" fillId="3" borderId="4" xfId="3" applyNumberFormat="1" applyFont="1" applyFill="1" applyBorder="1" applyAlignment="1">
      <alignment horizontal="center"/>
    </xf>
    <xf numFmtId="0" fontId="16" fillId="3" borderId="0" xfId="1" applyFont="1" applyBorder="1" applyAlignment="1"/>
    <xf numFmtId="0" fontId="20" fillId="3" borderId="0" xfId="1" applyFont="1" applyBorder="1" applyAlignment="1"/>
    <xf numFmtId="167" fontId="20" fillId="3" borderId="0" xfId="3" applyNumberFormat="1" applyFont="1"/>
    <xf numFmtId="167" fontId="25" fillId="3" borderId="1" xfId="3" applyNumberFormat="1" applyFont="1" applyBorder="1"/>
    <xf numFmtId="0" fontId="2" fillId="3" borderId="0" xfId="1" applyFont="1" applyBorder="1" applyAlignment="1"/>
    <xf numFmtId="0" fontId="0" fillId="7" borderId="0" xfId="0" applyFill="1"/>
    <xf numFmtId="0" fontId="30" fillId="7" borderId="0" xfId="0" applyFont="1" applyFill="1"/>
    <xf numFmtId="0" fontId="31" fillId="7" borderId="0" xfId="0" applyFont="1" applyFill="1"/>
    <xf numFmtId="0" fontId="33" fillId="7" borderId="0" xfId="0" applyFont="1" applyFill="1" applyAlignment="1">
      <alignment horizontal="center"/>
    </xf>
    <xf numFmtId="0" fontId="34" fillId="7" borderId="0" xfId="0" applyFont="1" applyFill="1" applyAlignment="1">
      <alignment horizontal="center"/>
    </xf>
    <xf numFmtId="0" fontId="35" fillId="7" borderId="0" xfId="18" applyFont="1" applyFill="1"/>
    <xf numFmtId="164" fontId="20" fillId="0" borderId="0" xfId="0" applyNumberFormat="1" applyFont="1"/>
    <xf numFmtId="0" fontId="36" fillId="0" borderId="0" xfId="0" applyFont="1"/>
  </cellXfs>
  <cellStyles count="19">
    <cellStyle name="Bad 2" xfId="6"/>
    <cellStyle name="Comma 2" xfId="7"/>
    <cellStyle name="Comma 2 2" xfId="3"/>
    <cellStyle name="Comma 2 2 2" xfId="4"/>
    <cellStyle name="Comma 3" xfId="8"/>
    <cellStyle name="Currency 2" xfId="9"/>
    <cellStyle name="Hyperlink" xfId="18" builtinId="8"/>
    <cellStyle name="Neutral 2" xfId="10"/>
    <cellStyle name="Normal" xfId="0" builtinId="0"/>
    <cellStyle name="Normal 2" xfId="1"/>
    <cellStyle name="Normal 2 2" xfId="11"/>
    <cellStyle name="Normal 2 3" xfId="2"/>
    <cellStyle name="Normal 2 4" xfId="12"/>
    <cellStyle name="Normal 3" xfId="5"/>
    <cellStyle name="Normal 4" xfId="13"/>
    <cellStyle name="Normal 5" xfId="14"/>
    <cellStyle name="Normal 6" xfId="15"/>
    <cellStyle name="Percent 2" xfId="16"/>
    <cellStyle name="Percent 3" xfId="17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D3D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eharris/Dropbox%20(Personal)/Consulting/Projects/TextIQ/FinancialModels/Text%20IQ%20Outputs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nsationTable"/>
      <sheetName val="CapTable"/>
      <sheetName val="OptionGrants"/>
      <sheetName val="OptionsBudget"/>
      <sheetName val="PeopleFlow"/>
      <sheetName val="FinHighlights"/>
      <sheetName val="BSOutput"/>
      <sheetName val="IS+MTD+Output"/>
      <sheetName val="IS+YTD+Output"/>
      <sheetName val="IS+Full+Year+Output"/>
      <sheetName val="CF+Output"/>
      <sheetName val="WaterfallProjections"/>
      <sheetName val="Budget+Burn from Bookkeeper"/>
      <sheetName val="OptionsBudget&amp;PeopleFlow"/>
      <sheetName val="2017ProjectionsByCase"/>
      <sheetName val="RunwayCalculatorSimple"/>
      <sheetName val="Assumptions"/>
      <sheetName val="Historical Financials Simple"/>
      <sheetName val="Historical Financials Detailed"/>
    </sheetNames>
    <sheetDataSet>
      <sheetData sheetId="0">
        <row r="14">
          <cell r="A14">
            <v>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1000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@fivecastfinancial.com" TargetMode="External"/><Relationship Id="rId2" Type="http://schemas.openxmlformats.org/officeDocument/2006/relationships/hyperlink" Target="https://www.fivecastfinanci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tabSelected="1" workbookViewId="0">
      <pane xSplit="2" ySplit="4" topLeftCell="G5" activePane="bottomRight" state="frozen"/>
      <selection pane="topRight"/>
      <selection pane="bottomLeft"/>
      <selection pane="bottomRight" activeCell="U3" sqref="U3"/>
    </sheetView>
  </sheetViews>
  <sheetFormatPr baseColWidth="10" defaultColWidth="8.83203125" defaultRowHeight="14" outlineLevelCol="1" x14ac:dyDescent="0.15"/>
  <cols>
    <col min="1" max="1" width="3" style="11" customWidth="1"/>
    <col min="2" max="2" width="23.33203125" style="11" customWidth="1"/>
    <col min="3" max="3" width="10" style="11" hidden="1" customWidth="1" outlineLevel="1"/>
    <col min="4" max="6" width="10" style="11" hidden="1" customWidth="1" outlineLevel="1" collapsed="1"/>
    <col min="7" max="7" width="10" style="11" customWidth="1" collapsed="1"/>
    <col min="8" max="8" width="4" style="11" customWidth="1"/>
    <col min="9" max="9" width="10" style="11" hidden="1" customWidth="1" outlineLevel="1"/>
    <col min="10" max="12" width="10" style="11" hidden="1" customWidth="1" outlineLevel="1" collapsed="1"/>
    <col min="13" max="13" width="10" style="11" customWidth="1" collapsed="1"/>
    <col min="14" max="14" width="4" style="11" customWidth="1"/>
    <col min="15" max="15" width="10" style="11" hidden="1" customWidth="1" outlineLevel="1"/>
    <col min="16" max="18" width="10" style="11" hidden="1" customWidth="1" outlineLevel="1" collapsed="1"/>
    <col min="19" max="19" width="10" style="11" customWidth="1" collapsed="1"/>
    <col min="20" max="16384" width="8.83203125" style="11"/>
  </cols>
  <sheetData>
    <row r="1" spans="1:21" ht="20" x14ac:dyDescent="0.2">
      <c r="A1" s="5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x14ac:dyDescent="0.15">
      <c r="A2" s="9" t="s">
        <v>0</v>
      </c>
    </row>
    <row r="3" spans="1:21" x14ac:dyDescent="0.15">
      <c r="C3" s="17">
        <v>2019</v>
      </c>
      <c r="D3" s="17"/>
      <c r="E3" s="17"/>
      <c r="F3" s="17"/>
      <c r="G3" s="18">
        <v>2019</v>
      </c>
      <c r="I3" s="17">
        <v>2020</v>
      </c>
      <c r="J3" s="17"/>
      <c r="K3" s="17"/>
      <c r="L3" s="17"/>
      <c r="M3" s="18">
        <v>2020</v>
      </c>
      <c r="O3" s="17">
        <v>2021</v>
      </c>
      <c r="P3" s="17"/>
      <c r="Q3" s="17"/>
      <c r="R3" s="17"/>
      <c r="S3" s="18">
        <v>2021</v>
      </c>
      <c r="U3" s="76" t="s">
        <v>101</v>
      </c>
    </row>
    <row r="4" spans="1:21" x14ac:dyDescent="0.15"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I4" s="18" t="s">
        <v>1</v>
      </c>
      <c r="J4" s="18" t="s">
        <v>2</v>
      </c>
      <c r="K4" s="18" t="s">
        <v>3</v>
      </c>
      <c r="L4" s="18" t="s">
        <v>4</v>
      </c>
      <c r="M4" s="18" t="s">
        <v>5</v>
      </c>
      <c r="O4" s="18" t="s">
        <v>1</v>
      </c>
      <c r="P4" s="18" t="s">
        <v>2</v>
      </c>
      <c r="Q4" s="18" t="s">
        <v>3</v>
      </c>
      <c r="R4" s="18" t="s">
        <v>4</v>
      </c>
      <c r="S4" s="18" t="s">
        <v>5</v>
      </c>
    </row>
    <row r="6" spans="1:21" x14ac:dyDescent="0.15">
      <c r="B6" s="6" t="s">
        <v>27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8" spans="1:21" x14ac:dyDescent="0.15">
      <c r="B8" s="1" t="s">
        <v>6</v>
      </c>
      <c r="C8" s="47">
        <f>Model!C19</f>
        <v>25000</v>
      </c>
      <c r="D8" s="47">
        <f>Model!D19</f>
        <v>50000</v>
      </c>
      <c r="E8" s="47">
        <f>Model!E19</f>
        <v>95000</v>
      </c>
      <c r="F8" s="47">
        <f>Model!F19</f>
        <v>140000</v>
      </c>
      <c r="G8" s="1">
        <f>SUM(C8:F8)</f>
        <v>310000</v>
      </c>
      <c r="I8" s="47">
        <f>Model!I19</f>
        <v>235000</v>
      </c>
      <c r="J8" s="47">
        <f>Model!J19</f>
        <v>325000</v>
      </c>
      <c r="K8" s="47">
        <f>Model!K19</f>
        <v>510000</v>
      </c>
      <c r="L8" s="47">
        <f>Model!L19</f>
        <v>690000</v>
      </c>
      <c r="M8" s="1">
        <f>SUM(I8:L8)</f>
        <v>1760000</v>
      </c>
      <c r="O8" s="47">
        <f>Model!O19</f>
        <v>1070000</v>
      </c>
      <c r="P8" s="47">
        <f>Model!P19</f>
        <v>1440000</v>
      </c>
      <c r="Q8" s="47">
        <f>Model!Q19</f>
        <v>2195000</v>
      </c>
      <c r="R8" s="47">
        <f>Model!R19</f>
        <v>2930000</v>
      </c>
      <c r="S8" s="1">
        <f>SUM(O8:R8)</f>
        <v>7635000</v>
      </c>
    </row>
    <row r="9" spans="1:21" x14ac:dyDescent="0.15">
      <c r="B9" s="1" t="s">
        <v>14</v>
      </c>
      <c r="C9" s="47">
        <f>Model!C40</f>
        <v>-362400</v>
      </c>
      <c r="D9" s="47">
        <f>Model!D40</f>
        <v>-357400</v>
      </c>
      <c r="E9" s="47">
        <f>Model!E40</f>
        <v>-692225</v>
      </c>
      <c r="F9" s="47">
        <f>Model!F40</f>
        <v>-1814980</v>
      </c>
      <c r="G9" s="1">
        <f t="shared" ref="G9:G10" si="0">SUM(C9:F9)</f>
        <v>-3227005</v>
      </c>
      <c r="I9" s="47">
        <f>Model!I40</f>
        <v>-1143161.25</v>
      </c>
      <c r="J9" s="47">
        <f>Model!J40</f>
        <v>-1224537.5</v>
      </c>
      <c r="K9" s="47">
        <f>Model!K40</f>
        <v>-1274097.5</v>
      </c>
      <c r="L9" s="47">
        <f>Model!L40</f>
        <v>-2237714</v>
      </c>
      <c r="M9" s="1">
        <f t="shared" ref="M9:M10" si="1">SUM(I9:L9)</f>
        <v>-5879510.25</v>
      </c>
      <c r="O9" s="47">
        <f>Model!O40</f>
        <v>-1839422.9375</v>
      </c>
      <c r="P9" s="47">
        <f>Model!P40</f>
        <v>-1858451.4375</v>
      </c>
      <c r="Q9" s="47">
        <f>Model!Q40</f>
        <v>-1884470.4375</v>
      </c>
      <c r="R9" s="47">
        <f>Model!R40</f>
        <v>-2896267.7625000002</v>
      </c>
      <c r="S9" s="1">
        <f t="shared" ref="S9:S10" si="2">SUM(O9:R9)</f>
        <v>-8478612.5749999993</v>
      </c>
    </row>
    <row r="10" spans="1:21" s="53" customFormat="1" x14ac:dyDescent="0.15">
      <c r="B10" s="7" t="s">
        <v>82</v>
      </c>
      <c r="C10" s="7">
        <f>SUM(C8:C9)</f>
        <v>-337400</v>
      </c>
      <c r="D10" s="7">
        <f t="shared" ref="D10:F10" si="3">SUM(D8:D9)</f>
        <v>-307400</v>
      </c>
      <c r="E10" s="7">
        <f t="shared" si="3"/>
        <v>-597225</v>
      </c>
      <c r="F10" s="7">
        <f t="shared" si="3"/>
        <v>-1674980</v>
      </c>
      <c r="G10" s="7">
        <f t="shared" si="0"/>
        <v>-2917005</v>
      </c>
      <c r="I10" s="7">
        <f>SUM(I8:I9)</f>
        <v>-908161.25</v>
      </c>
      <c r="J10" s="7">
        <f t="shared" ref="J10" si="4">SUM(J8:J9)</f>
        <v>-899537.5</v>
      </c>
      <c r="K10" s="7">
        <f t="shared" ref="K10" si="5">SUM(K8:K9)</f>
        <v>-764097.5</v>
      </c>
      <c r="L10" s="7">
        <f t="shared" ref="L10" si="6">SUM(L8:L9)</f>
        <v>-1547714</v>
      </c>
      <c r="M10" s="7">
        <f t="shared" si="1"/>
        <v>-4119510.25</v>
      </c>
      <c r="O10" s="7">
        <f>SUM(O8:O9)</f>
        <v>-769422.9375</v>
      </c>
      <c r="P10" s="7">
        <f t="shared" ref="P10" si="7">SUM(P8:P9)</f>
        <v>-418451.4375</v>
      </c>
      <c r="Q10" s="7">
        <f t="shared" ref="Q10" si="8">SUM(Q8:Q9)</f>
        <v>310529.5625</v>
      </c>
      <c r="R10" s="7">
        <f t="shared" ref="R10" si="9">SUM(R8:R9)</f>
        <v>33732.237499999814</v>
      </c>
      <c r="S10" s="7">
        <f t="shared" si="2"/>
        <v>-843612.57500000019</v>
      </c>
    </row>
    <row r="11" spans="1:21" x14ac:dyDescent="0.15">
      <c r="B11" s="1"/>
      <c r="C11" s="1"/>
      <c r="D11" s="1"/>
      <c r="E11" s="1"/>
      <c r="F11" s="1"/>
      <c r="G11" s="8"/>
      <c r="I11" s="1"/>
      <c r="J11" s="1"/>
      <c r="K11" s="1"/>
      <c r="L11" s="1"/>
      <c r="M11" s="8"/>
      <c r="O11" s="1"/>
      <c r="P11" s="1"/>
      <c r="Q11" s="1"/>
      <c r="R11" s="1"/>
      <c r="S11" s="8"/>
    </row>
    <row r="12" spans="1:21" x14ac:dyDescent="0.15">
      <c r="B12" s="1"/>
      <c r="C12" s="1"/>
      <c r="D12" s="1"/>
      <c r="E12" s="1"/>
      <c r="F12" s="1"/>
      <c r="G12" s="8"/>
      <c r="I12" s="1"/>
      <c r="J12" s="1"/>
      <c r="K12" s="1"/>
      <c r="L12" s="1"/>
      <c r="M12" s="8"/>
      <c r="O12" s="1"/>
      <c r="P12" s="1"/>
      <c r="Q12" s="1"/>
      <c r="R12" s="1"/>
      <c r="S12" s="8"/>
    </row>
    <row r="13" spans="1:21" x14ac:dyDescent="0.15">
      <c r="B13" s="1"/>
      <c r="C13" s="1"/>
      <c r="D13" s="1"/>
      <c r="E13" s="1"/>
      <c r="F13" s="1"/>
      <c r="G13" s="8"/>
      <c r="I13" s="1"/>
      <c r="J13" s="1"/>
      <c r="K13" s="1"/>
      <c r="L13" s="1"/>
      <c r="M13" s="8"/>
      <c r="O13" s="1"/>
      <c r="P13" s="1"/>
      <c r="Q13" s="1"/>
      <c r="R13" s="1"/>
      <c r="S13" s="8"/>
    </row>
    <row r="14" spans="1:21" x14ac:dyDescent="0.15">
      <c r="B14" s="6" t="s">
        <v>90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1" x14ac:dyDescent="0.15">
      <c r="B15" s="1"/>
      <c r="C15" s="1"/>
      <c r="D15" s="1"/>
      <c r="E15" s="1"/>
      <c r="F15" s="1"/>
      <c r="G15" s="8"/>
      <c r="I15" s="1"/>
      <c r="J15" s="1"/>
      <c r="K15" s="1"/>
      <c r="L15" s="1"/>
      <c r="M15" s="8"/>
      <c r="O15" s="1"/>
      <c r="P15" s="1"/>
      <c r="Q15" s="1"/>
      <c r="R15" s="1"/>
      <c r="S15" s="8"/>
    </row>
    <row r="16" spans="1:21" x14ac:dyDescent="0.15">
      <c r="B16" s="1" t="s">
        <v>88</v>
      </c>
      <c r="C16" s="47">
        <f>Model!C12</f>
        <v>5</v>
      </c>
      <c r="D16" s="47">
        <f>Model!D12</f>
        <v>10</v>
      </c>
      <c r="E16" s="47">
        <f>Model!E12</f>
        <v>19</v>
      </c>
      <c r="F16" s="47">
        <f>Model!F12</f>
        <v>28</v>
      </c>
      <c r="G16" s="52">
        <f>F16</f>
        <v>28</v>
      </c>
      <c r="I16" s="47">
        <f>Model!I12</f>
        <v>47</v>
      </c>
      <c r="J16" s="47">
        <f>Model!J12</f>
        <v>65</v>
      </c>
      <c r="K16" s="47">
        <f>Model!K12</f>
        <v>102</v>
      </c>
      <c r="L16" s="47">
        <f>Model!L12</f>
        <v>138</v>
      </c>
      <c r="M16" s="52">
        <f>L16</f>
        <v>138</v>
      </c>
      <c r="O16" s="47">
        <f>Model!O12</f>
        <v>214</v>
      </c>
      <c r="P16" s="47">
        <f>Model!P12</f>
        <v>288</v>
      </c>
      <c r="Q16" s="47">
        <f>Model!Q12</f>
        <v>439</v>
      </c>
      <c r="R16" s="47">
        <f>Model!R12</f>
        <v>586</v>
      </c>
      <c r="S16" s="52">
        <f>R16</f>
        <v>586</v>
      </c>
    </row>
    <row r="17" spans="2:19" x14ac:dyDescent="0.15">
      <c r="B17" s="1" t="s">
        <v>87</v>
      </c>
      <c r="C17" s="47">
        <f>Personnel!H50</f>
        <v>10</v>
      </c>
      <c r="D17" s="47">
        <f>Personnel!I50</f>
        <v>10</v>
      </c>
      <c r="E17" s="47">
        <f>Personnel!J50</f>
        <v>18</v>
      </c>
      <c r="F17" s="47">
        <f>Personnel!K50</f>
        <v>22</v>
      </c>
      <c r="G17" s="52">
        <f>F17</f>
        <v>22</v>
      </c>
      <c r="I17" s="47">
        <f>Personnel!N50</f>
        <v>26</v>
      </c>
      <c r="J17" s="47">
        <f>Personnel!O50</f>
        <v>28</v>
      </c>
      <c r="K17" s="47">
        <f>Personnel!P50</f>
        <v>30</v>
      </c>
      <c r="L17" s="47">
        <f>Personnel!Q50</f>
        <v>30</v>
      </c>
      <c r="M17" s="52">
        <f>L17</f>
        <v>30</v>
      </c>
      <c r="O17" s="47">
        <f>Personnel!T50</f>
        <v>38</v>
      </c>
      <c r="P17" s="47">
        <f>Personnel!U50</f>
        <v>39</v>
      </c>
      <c r="Q17" s="47">
        <f>Personnel!V50</f>
        <v>40</v>
      </c>
      <c r="R17" s="47">
        <f>Personnel!W50</f>
        <v>40</v>
      </c>
      <c r="S17" s="52">
        <f>R17</f>
        <v>40</v>
      </c>
    </row>
    <row r="18" spans="2:19" x14ac:dyDescent="0.15">
      <c r="B18" s="1"/>
      <c r="C18" s="1"/>
      <c r="D18" s="1"/>
      <c r="E18" s="1"/>
      <c r="F18" s="1"/>
      <c r="G18" s="8"/>
      <c r="I18" s="1"/>
      <c r="J18" s="1"/>
      <c r="K18" s="1"/>
      <c r="L18" s="1"/>
      <c r="M18" s="8"/>
      <c r="O18" s="1"/>
      <c r="P18" s="1"/>
      <c r="Q18" s="1"/>
      <c r="R18" s="1"/>
      <c r="S18" s="8"/>
    </row>
    <row r="19" spans="2:19" x14ac:dyDescent="0.15">
      <c r="B19" s="1"/>
      <c r="C19" s="1"/>
      <c r="D19" s="1"/>
      <c r="E19" s="1"/>
      <c r="F19" s="1"/>
      <c r="G19" s="8"/>
      <c r="I19" s="1"/>
      <c r="J19" s="1"/>
      <c r="K19" s="1"/>
      <c r="L19" s="1"/>
      <c r="M19" s="8"/>
      <c r="O19" s="1"/>
      <c r="P19" s="1"/>
      <c r="Q19" s="1"/>
      <c r="R19" s="1"/>
      <c r="S19" s="8"/>
    </row>
    <row r="20" spans="2:19" x14ac:dyDescent="0.15">
      <c r="B20" s="1"/>
      <c r="C20" s="1"/>
      <c r="D20" s="1"/>
      <c r="E20" s="1"/>
      <c r="F20" s="1"/>
      <c r="G20" s="8"/>
      <c r="I20" s="1"/>
      <c r="J20" s="1"/>
      <c r="K20" s="1"/>
      <c r="L20" s="1"/>
      <c r="M20" s="8"/>
      <c r="O20" s="1"/>
      <c r="P20" s="1"/>
      <c r="Q20" s="1"/>
      <c r="R20" s="1"/>
      <c r="S20" s="8"/>
    </row>
    <row r="21" spans="2:19" x14ac:dyDescent="0.15">
      <c r="B21" s="6" t="s">
        <v>91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3" spans="2:19" s="53" customFormat="1" x14ac:dyDescent="0.15">
      <c r="B23" s="2" t="s">
        <v>29</v>
      </c>
      <c r="C23" s="51">
        <f>Model!C56</f>
        <v>10662600</v>
      </c>
      <c r="D23" s="51">
        <f>Model!D56</f>
        <v>10355200</v>
      </c>
      <c r="E23" s="51">
        <f>Model!E56</f>
        <v>9757975</v>
      </c>
      <c r="F23" s="51">
        <f>Model!F56</f>
        <v>8082995</v>
      </c>
      <c r="G23" s="2">
        <f>F23</f>
        <v>8082995</v>
      </c>
      <c r="I23" s="51">
        <f>Model!I56</f>
        <v>7174833.75</v>
      </c>
      <c r="J23" s="51">
        <f>Model!J56</f>
        <v>6275296.25</v>
      </c>
      <c r="K23" s="51">
        <f>Model!K56</f>
        <v>5511198.75</v>
      </c>
      <c r="L23" s="51">
        <f>Model!L56</f>
        <v>3963484.75</v>
      </c>
      <c r="M23" s="2">
        <f>L23</f>
        <v>3963484.75</v>
      </c>
      <c r="O23" s="51">
        <f>Model!O56</f>
        <v>3194061.8125</v>
      </c>
      <c r="P23" s="51">
        <f>Model!P56</f>
        <v>2775610.375</v>
      </c>
      <c r="Q23" s="51">
        <f>Model!Q56</f>
        <v>3086139.9375</v>
      </c>
      <c r="R23" s="51">
        <f>Model!R56</f>
        <v>3119872.1749999998</v>
      </c>
      <c r="S23" s="2">
        <f>R23</f>
        <v>3119872.1749999998</v>
      </c>
    </row>
    <row r="25" spans="2:19" x14ac:dyDescent="0.15">
      <c r="B25" s="11" t="s">
        <v>92</v>
      </c>
      <c r="C25" s="47">
        <f>Model!C55</f>
        <v>10000000</v>
      </c>
      <c r="D25" s="47">
        <f>Model!D55</f>
        <v>0</v>
      </c>
      <c r="E25" s="47">
        <f>Model!E55</f>
        <v>0</v>
      </c>
      <c r="F25" s="47">
        <f>Model!F55</f>
        <v>0</v>
      </c>
      <c r="G25" s="1">
        <f>SUM(C25:F25)</f>
        <v>10000000</v>
      </c>
      <c r="H25" s="1"/>
      <c r="I25" s="1">
        <f>Model!I55</f>
        <v>0</v>
      </c>
      <c r="J25" s="1">
        <f>Model!J55</f>
        <v>0</v>
      </c>
      <c r="K25" s="1">
        <f>Model!K55</f>
        <v>0</v>
      </c>
      <c r="L25" s="1">
        <f>Model!L55</f>
        <v>0</v>
      </c>
      <c r="M25" s="1">
        <f>SUM(I25:L25)</f>
        <v>0</v>
      </c>
      <c r="N25" s="1"/>
      <c r="O25" s="1">
        <f>Model!O55</f>
        <v>0</v>
      </c>
      <c r="P25" s="1">
        <f>Model!P55</f>
        <v>0</v>
      </c>
      <c r="Q25" s="1">
        <f>Model!Q55</f>
        <v>0</v>
      </c>
      <c r="R25" s="1">
        <f>Model!R55</f>
        <v>0</v>
      </c>
      <c r="S25" s="1">
        <f>SUM(O25:R25)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showGridLines="0" workbookViewId="0">
      <pane xSplit="2" ySplit="4" topLeftCell="G5" activePane="bottomRight" state="frozen"/>
      <selection pane="topRight"/>
      <selection pane="bottomLeft"/>
      <selection pane="bottomRight"/>
    </sheetView>
  </sheetViews>
  <sheetFormatPr baseColWidth="10" defaultColWidth="8.83203125" defaultRowHeight="14" outlineLevelCol="1" x14ac:dyDescent="0.15"/>
  <cols>
    <col min="1" max="1" width="3" style="11" customWidth="1"/>
    <col min="2" max="2" width="34" style="11" customWidth="1"/>
    <col min="3" max="3" width="10" style="11" hidden="1" customWidth="1" outlineLevel="1"/>
    <col min="4" max="6" width="10" style="11" hidden="1" customWidth="1" outlineLevel="1" collapsed="1"/>
    <col min="7" max="7" width="10" style="11" customWidth="1" collapsed="1"/>
    <col min="8" max="8" width="4" style="11" customWidth="1"/>
    <col min="9" max="9" width="10" style="11" hidden="1" customWidth="1" outlineLevel="1"/>
    <col min="10" max="12" width="10" style="11" hidden="1" customWidth="1" outlineLevel="1" collapsed="1"/>
    <col min="13" max="13" width="10" style="11" customWidth="1" collapsed="1"/>
    <col min="14" max="14" width="4" style="11" customWidth="1"/>
    <col min="15" max="15" width="10" style="11" hidden="1" customWidth="1" outlineLevel="1"/>
    <col min="16" max="18" width="10" style="11" hidden="1" customWidth="1" outlineLevel="1" collapsed="1"/>
    <col min="19" max="19" width="10" style="11" customWidth="1" collapsed="1"/>
    <col min="20" max="16384" width="8.83203125" style="11"/>
  </cols>
  <sheetData>
    <row r="1" spans="1:20" ht="20" x14ac:dyDescent="0.2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15">
      <c r="A2" s="9" t="s">
        <v>0</v>
      </c>
    </row>
    <row r="3" spans="1:20" x14ac:dyDescent="0.15">
      <c r="C3" s="17">
        <v>2019</v>
      </c>
      <c r="D3" s="17"/>
      <c r="E3" s="17"/>
      <c r="F3" s="17"/>
      <c r="G3" s="18">
        <v>2019</v>
      </c>
      <c r="I3" s="17">
        <v>2020</v>
      </c>
      <c r="J3" s="17"/>
      <c r="K3" s="17"/>
      <c r="L3" s="17"/>
      <c r="M3" s="18">
        <v>2020</v>
      </c>
      <c r="O3" s="17">
        <v>2021</v>
      </c>
      <c r="P3" s="17"/>
      <c r="Q3" s="17"/>
      <c r="R3" s="17"/>
      <c r="S3" s="18">
        <v>2021</v>
      </c>
    </row>
    <row r="4" spans="1:20" x14ac:dyDescent="0.15"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I4" s="18" t="s">
        <v>1</v>
      </c>
      <c r="J4" s="18" t="s">
        <v>2</v>
      </c>
      <c r="K4" s="18" t="s">
        <v>3</v>
      </c>
      <c r="L4" s="18" t="s">
        <v>4</v>
      </c>
      <c r="M4" s="18" t="s">
        <v>5</v>
      </c>
      <c r="O4" s="18" t="s">
        <v>1</v>
      </c>
      <c r="P4" s="18" t="s">
        <v>2</v>
      </c>
      <c r="Q4" s="18" t="s">
        <v>3</v>
      </c>
      <c r="R4" s="18" t="s">
        <v>4</v>
      </c>
      <c r="S4" s="18" t="s">
        <v>5</v>
      </c>
    </row>
    <row r="6" spans="1:20" x14ac:dyDescent="0.15">
      <c r="B6" s="6" t="s">
        <v>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8" spans="1:20" x14ac:dyDescent="0.15">
      <c r="B8" s="4" t="s">
        <v>7</v>
      </c>
    </row>
    <row r="9" spans="1:20" x14ac:dyDescent="0.15">
      <c r="B9" s="1" t="s">
        <v>8</v>
      </c>
      <c r="C9" s="1">
        <f>0</f>
        <v>0</v>
      </c>
      <c r="D9" s="1">
        <f>C12</f>
        <v>5</v>
      </c>
      <c r="E9" s="1">
        <f>D12</f>
        <v>10</v>
      </c>
      <c r="F9" s="1">
        <f>E12</f>
        <v>19</v>
      </c>
      <c r="G9" s="1">
        <f>C9</f>
        <v>0</v>
      </c>
      <c r="I9" s="1">
        <f>F12</f>
        <v>28</v>
      </c>
      <c r="J9" s="1">
        <f>I12</f>
        <v>47</v>
      </c>
      <c r="K9" s="1">
        <f>J12</f>
        <v>65</v>
      </c>
      <c r="L9" s="1">
        <f>K12</f>
        <v>102</v>
      </c>
      <c r="M9" s="1">
        <f>I9</f>
        <v>28</v>
      </c>
      <c r="O9" s="1">
        <f>L12</f>
        <v>138</v>
      </c>
      <c r="P9" s="1">
        <f>O12</f>
        <v>214</v>
      </c>
      <c r="Q9" s="1">
        <f>P12</f>
        <v>288</v>
      </c>
      <c r="R9" s="1">
        <f>Q12</f>
        <v>439</v>
      </c>
      <c r="S9" s="1">
        <f>O9</f>
        <v>138</v>
      </c>
    </row>
    <row r="10" spans="1:20" x14ac:dyDescent="0.15">
      <c r="B10" s="1" t="s">
        <v>80</v>
      </c>
      <c r="C10" s="3">
        <v>5</v>
      </c>
      <c r="D10" s="3">
        <f>C10</f>
        <v>5</v>
      </c>
      <c r="E10" s="3">
        <v>10</v>
      </c>
      <c r="F10" s="3">
        <f>E10</f>
        <v>10</v>
      </c>
      <c r="G10" s="1">
        <f>SUM(C10:F10)</f>
        <v>30</v>
      </c>
      <c r="I10" s="3">
        <v>20</v>
      </c>
      <c r="J10" s="3">
        <f>I10</f>
        <v>20</v>
      </c>
      <c r="K10" s="3">
        <v>40</v>
      </c>
      <c r="L10" s="3">
        <f>K10</f>
        <v>40</v>
      </c>
      <c r="M10" s="1">
        <f>SUM(I10:L10)</f>
        <v>120</v>
      </c>
      <c r="O10" s="3">
        <v>80</v>
      </c>
      <c r="P10" s="3">
        <f>O10</f>
        <v>80</v>
      </c>
      <c r="Q10" s="3">
        <v>160</v>
      </c>
      <c r="R10" s="3">
        <f>Q10</f>
        <v>160</v>
      </c>
      <c r="S10" s="1">
        <f>SUM(O10:R10)</f>
        <v>480</v>
      </c>
    </row>
    <row r="11" spans="1:20" x14ac:dyDescent="0.15">
      <c r="B11" s="1" t="s">
        <v>9</v>
      </c>
      <c r="C11" s="1">
        <f>-ROUND(C9*C14,0)</f>
        <v>0</v>
      </c>
      <c r="D11" s="1">
        <f>-ROUND(D9*D14,0)</f>
        <v>0</v>
      </c>
      <c r="E11" s="1">
        <f>-ROUND(E9*E14,0)</f>
        <v>-1</v>
      </c>
      <c r="F11" s="1">
        <f>-ROUND(F9*F14,0)</f>
        <v>-1</v>
      </c>
      <c r="G11" s="1">
        <f>SUM(C11:F11)</f>
        <v>-2</v>
      </c>
      <c r="I11" s="1">
        <f>-ROUND(I9*I14,0)</f>
        <v>-1</v>
      </c>
      <c r="J11" s="1">
        <f>-ROUND(J9*J14,0)</f>
        <v>-2</v>
      </c>
      <c r="K11" s="1">
        <f>-ROUND(K9*K14,0)</f>
        <v>-3</v>
      </c>
      <c r="L11" s="1">
        <f>-ROUND(L9*L14,0)</f>
        <v>-4</v>
      </c>
      <c r="M11" s="1">
        <f>SUM(I11:L11)</f>
        <v>-10</v>
      </c>
      <c r="O11" s="1">
        <f>-ROUND(O9*O14,0)</f>
        <v>-4</v>
      </c>
      <c r="P11" s="1">
        <f>-ROUND(P9*P14,0)</f>
        <v>-6</v>
      </c>
      <c r="Q11" s="1">
        <f>-ROUND(Q9*Q14,0)</f>
        <v>-9</v>
      </c>
      <c r="R11" s="1">
        <f>-ROUND(R9*R14,0)</f>
        <v>-13</v>
      </c>
      <c r="S11" s="1">
        <f>SUM(O11:R11)</f>
        <v>-32</v>
      </c>
    </row>
    <row r="12" spans="1:20" x14ac:dyDescent="0.15">
      <c r="B12" s="54" t="s">
        <v>10</v>
      </c>
      <c r="C12" s="54">
        <f>SUM(C9:C11)</f>
        <v>5</v>
      </c>
      <c r="D12" s="54">
        <f>SUM(D9:D11)</f>
        <v>10</v>
      </c>
      <c r="E12" s="54">
        <f>SUM(E9:E11)</f>
        <v>19</v>
      </c>
      <c r="F12" s="54">
        <f>SUM(F9:F11)</f>
        <v>28</v>
      </c>
      <c r="G12" s="54">
        <f>F12</f>
        <v>28</v>
      </c>
      <c r="I12" s="54">
        <f>SUM(I9:I11)</f>
        <v>47</v>
      </c>
      <c r="J12" s="54">
        <f>SUM(J9:J11)</f>
        <v>65</v>
      </c>
      <c r="K12" s="54">
        <f>SUM(K9:K11)</f>
        <v>102</v>
      </c>
      <c r="L12" s="54">
        <f>SUM(L9:L11)</f>
        <v>138</v>
      </c>
      <c r="M12" s="54">
        <f>L12</f>
        <v>138</v>
      </c>
      <c r="O12" s="54">
        <f>SUM(O9:O11)</f>
        <v>214</v>
      </c>
      <c r="P12" s="54">
        <f>SUM(P9:P11)</f>
        <v>288</v>
      </c>
      <c r="Q12" s="54">
        <f>SUM(Q9:Q11)</f>
        <v>439</v>
      </c>
      <c r="R12" s="54">
        <f>SUM(R9:R11)</f>
        <v>586</v>
      </c>
      <c r="S12" s="54">
        <f>R12</f>
        <v>586</v>
      </c>
    </row>
    <row r="14" spans="1:20" x14ac:dyDescent="0.15">
      <c r="B14" s="10" t="s">
        <v>81</v>
      </c>
      <c r="C14" s="55">
        <v>0.05</v>
      </c>
      <c r="D14" s="55">
        <f>C14</f>
        <v>0.05</v>
      </c>
      <c r="E14" s="55">
        <f>D14</f>
        <v>0.05</v>
      </c>
      <c r="F14" s="55">
        <f>E14</f>
        <v>0.05</v>
      </c>
      <c r="G14" s="10">
        <f>AVERAGE(C14:F14)</f>
        <v>0.05</v>
      </c>
      <c r="I14" s="55">
        <v>0.04</v>
      </c>
      <c r="J14" s="55">
        <f>I14</f>
        <v>0.04</v>
      </c>
      <c r="K14" s="55">
        <f>J14</f>
        <v>0.04</v>
      </c>
      <c r="L14" s="55">
        <f>K14</f>
        <v>0.04</v>
      </c>
      <c r="M14" s="10">
        <f>AVERAGE(I14:L14)</f>
        <v>0.04</v>
      </c>
      <c r="O14" s="55">
        <v>0.03</v>
      </c>
      <c r="P14" s="55">
        <f>O14</f>
        <v>0.03</v>
      </c>
      <c r="Q14" s="55">
        <f>P14</f>
        <v>0.03</v>
      </c>
      <c r="R14" s="55">
        <f>Q14</f>
        <v>0.03</v>
      </c>
      <c r="S14" s="10">
        <f>AVERAGE(O14:R14)</f>
        <v>0.03</v>
      </c>
    </row>
    <row r="16" spans="1:20" x14ac:dyDescent="0.15">
      <c r="B16" s="56" t="s">
        <v>11</v>
      </c>
      <c r="C16" s="57">
        <v>5000</v>
      </c>
      <c r="D16" s="57">
        <f>C16</f>
        <v>5000</v>
      </c>
      <c r="E16" s="57">
        <f>D16</f>
        <v>5000</v>
      </c>
      <c r="F16" s="57">
        <f>E16</f>
        <v>5000</v>
      </c>
      <c r="G16" s="56">
        <f>SUM(C16:F16)</f>
        <v>20000</v>
      </c>
      <c r="I16" s="57">
        <f>F16</f>
        <v>5000</v>
      </c>
      <c r="J16" s="57">
        <f>I16</f>
        <v>5000</v>
      </c>
      <c r="K16" s="57">
        <f>J16</f>
        <v>5000</v>
      </c>
      <c r="L16" s="57">
        <f>K16</f>
        <v>5000</v>
      </c>
      <c r="M16" s="56">
        <f>SUM(I16:L16)</f>
        <v>20000</v>
      </c>
      <c r="O16" s="57">
        <f>L16</f>
        <v>5000</v>
      </c>
      <c r="P16" s="57">
        <f>O16</f>
        <v>5000</v>
      </c>
      <c r="Q16" s="57">
        <f>P16</f>
        <v>5000</v>
      </c>
      <c r="R16" s="57">
        <f>Q16</f>
        <v>5000</v>
      </c>
      <c r="S16" s="56">
        <f>SUM(O16:R16)</f>
        <v>20000</v>
      </c>
    </row>
    <row r="17" spans="2:19" x14ac:dyDescent="0.15">
      <c r="B17" s="54" t="s">
        <v>12</v>
      </c>
      <c r="C17" s="54">
        <f>C12*C16</f>
        <v>25000</v>
      </c>
      <c r="D17" s="54">
        <f>D12*D16</f>
        <v>50000</v>
      </c>
      <c r="E17" s="54">
        <f>E12*E16</f>
        <v>95000</v>
      </c>
      <c r="F17" s="54">
        <f>F12*F16</f>
        <v>140000</v>
      </c>
      <c r="G17" s="54">
        <f>SUM(C17:F17)</f>
        <v>310000</v>
      </c>
      <c r="I17" s="54">
        <f>I12*I16</f>
        <v>235000</v>
      </c>
      <c r="J17" s="54">
        <f>J12*J16</f>
        <v>325000</v>
      </c>
      <c r="K17" s="54">
        <f>K12*K16</f>
        <v>510000</v>
      </c>
      <c r="L17" s="54">
        <f>L12*L16</f>
        <v>690000</v>
      </c>
      <c r="M17" s="54">
        <f>SUM(I17:L17)</f>
        <v>1760000</v>
      </c>
      <c r="O17" s="54">
        <f>O12*O16</f>
        <v>1070000</v>
      </c>
      <c r="P17" s="54">
        <f>P12*P16</f>
        <v>1440000</v>
      </c>
      <c r="Q17" s="54">
        <f>Q12*Q16</f>
        <v>2195000</v>
      </c>
      <c r="R17" s="54">
        <f>R12*R16</f>
        <v>2930000</v>
      </c>
      <c r="S17" s="54">
        <f>SUM(O17:R17)</f>
        <v>7635000</v>
      </c>
    </row>
    <row r="19" spans="2:19" x14ac:dyDescent="0.15">
      <c r="B19" s="2" t="s">
        <v>13</v>
      </c>
      <c r="C19" s="2">
        <f>C17</f>
        <v>25000</v>
      </c>
      <c r="D19" s="2">
        <f t="shared" ref="D19:F19" si="0">D17</f>
        <v>50000</v>
      </c>
      <c r="E19" s="2">
        <f t="shared" si="0"/>
        <v>95000</v>
      </c>
      <c r="F19" s="2">
        <f t="shared" si="0"/>
        <v>140000</v>
      </c>
      <c r="G19" s="2">
        <f>SUM(C19:F19)</f>
        <v>310000</v>
      </c>
      <c r="I19" s="2">
        <f>I17</f>
        <v>235000</v>
      </c>
      <c r="J19" s="2">
        <f t="shared" ref="J19:L19" si="1">J17</f>
        <v>325000</v>
      </c>
      <c r="K19" s="2">
        <f t="shared" si="1"/>
        <v>510000</v>
      </c>
      <c r="L19" s="2">
        <f t="shared" si="1"/>
        <v>690000</v>
      </c>
      <c r="M19" s="2">
        <f>SUM(I19:L19)</f>
        <v>1760000</v>
      </c>
      <c r="O19" s="2">
        <f>O17</f>
        <v>1070000</v>
      </c>
      <c r="P19" s="2">
        <f t="shared" ref="P19:R19" si="2">P17</f>
        <v>1440000</v>
      </c>
      <c r="Q19" s="2">
        <f t="shared" si="2"/>
        <v>2195000</v>
      </c>
      <c r="R19" s="2">
        <f t="shared" si="2"/>
        <v>2930000</v>
      </c>
      <c r="S19" s="2">
        <f>SUM(O19:R19)</f>
        <v>7635000</v>
      </c>
    </row>
    <row r="20" spans="2:19" s="58" customFormat="1" x14ac:dyDescent="0.15">
      <c r="B20" s="9"/>
      <c r="I20" s="10"/>
      <c r="J20" s="10"/>
      <c r="K20" s="10"/>
      <c r="L20" s="10"/>
      <c r="M20" s="10"/>
      <c r="O20" s="10"/>
      <c r="P20" s="10"/>
      <c r="Q20" s="10"/>
      <c r="R20" s="10"/>
      <c r="S20" s="10"/>
    </row>
    <row r="21" spans="2:19" s="58" customFormat="1" x14ac:dyDescent="0.15">
      <c r="B21" s="9"/>
      <c r="I21" s="10"/>
      <c r="J21" s="10"/>
      <c r="K21" s="10"/>
      <c r="L21" s="10"/>
      <c r="M21" s="10"/>
      <c r="O21" s="10"/>
      <c r="P21" s="10"/>
      <c r="Q21" s="10"/>
      <c r="R21" s="10"/>
      <c r="S21" s="10"/>
    </row>
    <row r="23" spans="2:19" x14ac:dyDescent="0.15">
      <c r="B23" s="6" t="s">
        <v>14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5" spans="2:19" x14ac:dyDescent="0.15">
      <c r="B25" s="4" t="s">
        <v>14</v>
      </c>
    </row>
    <row r="26" spans="2:19" x14ac:dyDescent="0.15">
      <c r="B26" s="8" t="s">
        <v>73</v>
      </c>
      <c r="C26" s="47">
        <f>-Personnel!H64</f>
        <v>-280000</v>
      </c>
      <c r="D26" s="47">
        <f>-Personnel!I64</f>
        <v>-280000</v>
      </c>
      <c r="E26" s="47">
        <f>-Personnel!J64</f>
        <v>-563750</v>
      </c>
      <c r="F26" s="47">
        <f>-Personnel!K64</f>
        <v>-737500</v>
      </c>
      <c r="G26" s="1">
        <f>SUM(C26:F26)</f>
        <v>-1861250</v>
      </c>
      <c r="I26" s="47">
        <f>-Personnel!N64</f>
        <v>-933187.5</v>
      </c>
      <c r="J26" s="47">
        <f>-Personnel!O64</f>
        <v>-1010625</v>
      </c>
      <c r="K26" s="47">
        <f>-Personnel!P64</f>
        <v>-1052625</v>
      </c>
      <c r="L26" s="47">
        <f>-Personnel!Q64</f>
        <v>-1052625</v>
      </c>
      <c r="M26" s="1">
        <f>SUM(I26:L26)</f>
        <v>-4049062.5</v>
      </c>
      <c r="O26" s="47">
        <f>-Personnel!T64</f>
        <v>-1506290.625</v>
      </c>
      <c r="P26" s="47">
        <f>-Personnel!U64</f>
        <v>-1539365.625</v>
      </c>
      <c r="Q26" s="47">
        <f>-Personnel!V64</f>
        <v>-1561415.625</v>
      </c>
      <c r="R26" s="47">
        <f>-Personnel!W64</f>
        <v>-1561415.625</v>
      </c>
      <c r="S26" s="1">
        <f>SUM(O26:R26)</f>
        <v>-6168487.5</v>
      </c>
    </row>
    <row r="27" spans="2:19" x14ac:dyDescent="0.15">
      <c r="B27" s="8" t="s">
        <v>74</v>
      </c>
      <c r="C27" s="47">
        <f>-Personnel!H78</f>
        <v>0</v>
      </c>
      <c r="D27" s="47">
        <f>-Personnel!I78</f>
        <v>0</v>
      </c>
      <c r="E27" s="47">
        <f>-Personnel!J78</f>
        <v>0</v>
      </c>
      <c r="F27" s="47">
        <f>-Personnel!K78</f>
        <v>-849750</v>
      </c>
      <c r="G27" s="1">
        <f t="shared" ref="G27:G29" si="3">SUM(C27:F27)</f>
        <v>-849750</v>
      </c>
      <c r="I27" s="47">
        <f>-Personnel!N78</f>
        <v>0</v>
      </c>
      <c r="J27" s="47">
        <f>-Personnel!O78</f>
        <v>0</v>
      </c>
      <c r="K27" s="47">
        <f>-Personnel!P78</f>
        <v>0</v>
      </c>
      <c r="L27" s="47">
        <f>-Personnel!Q78</f>
        <v>-892237.5</v>
      </c>
      <c r="M27" s="1">
        <f t="shared" ref="M27:M29" si="4">SUM(I27:L27)</f>
        <v>-892237.5</v>
      </c>
      <c r="O27" s="47">
        <f>-Personnel!T78</f>
        <v>0</v>
      </c>
      <c r="P27" s="47">
        <f>-Personnel!U78</f>
        <v>0</v>
      </c>
      <c r="Q27" s="47">
        <f>-Personnel!V78</f>
        <v>0</v>
      </c>
      <c r="R27" s="47">
        <f>-Personnel!W78</f>
        <v>-936849.375</v>
      </c>
      <c r="S27" s="1">
        <f t="shared" ref="S27:S29" si="5">SUM(O27:R27)</f>
        <v>-936849.375</v>
      </c>
    </row>
    <row r="28" spans="2:19" x14ac:dyDescent="0.15">
      <c r="B28" s="8" t="s">
        <v>75</v>
      </c>
      <c r="C28" s="47">
        <f>-Personnel!H91</f>
        <v>-22400</v>
      </c>
      <c r="D28" s="47">
        <f>-Personnel!I91</f>
        <v>-22400</v>
      </c>
      <c r="E28" s="47">
        <f>-Personnel!J91</f>
        <v>-45100</v>
      </c>
      <c r="F28" s="47">
        <f>-Personnel!K91</f>
        <v>-126980</v>
      </c>
      <c r="G28" s="1">
        <f t="shared" si="3"/>
        <v>-216880</v>
      </c>
      <c r="I28" s="47">
        <f>-Personnel!N91</f>
        <v>-74655</v>
      </c>
      <c r="J28" s="47">
        <f>-Personnel!O91</f>
        <v>-80850</v>
      </c>
      <c r="K28" s="47">
        <f>-Personnel!P91</f>
        <v>-84210</v>
      </c>
      <c r="L28" s="47">
        <f>-Personnel!Q91</f>
        <v>-155589</v>
      </c>
      <c r="M28" s="1">
        <f t="shared" si="4"/>
        <v>-395304</v>
      </c>
      <c r="O28" s="47">
        <f>-Personnel!T91</f>
        <v>-120503.25</v>
      </c>
      <c r="P28" s="47">
        <f>-Personnel!U91</f>
        <v>-123149.25</v>
      </c>
      <c r="Q28" s="47">
        <f>-Personnel!V91</f>
        <v>-124913.25</v>
      </c>
      <c r="R28" s="47">
        <f>-Personnel!W91</f>
        <v>-199861.20000000004</v>
      </c>
      <c r="S28" s="1">
        <f t="shared" si="5"/>
        <v>-568426.95000000007</v>
      </c>
    </row>
    <row r="29" spans="2:19" x14ac:dyDescent="0.15">
      <c r="B29" s="8" t="s">
        <v>76</v>
      </c>
      <c r="C29" s="47">
        <f>-Personnel!H104</f>
        <v>-28000</v>
      </c>
      <c r="D29" s="47">
        <f>-Personnel!I104</f>
        <v>-28000</v>
      </c>
      <c r="E29" s="47">
        <f>-Personnel!J104</f>
        <v>-56375</v>
      </c>
      <c r="F29" s="47">
        <f>-Personnel!K104</f>
        <v>-73750</v>
      </c>
      <c r="G29" s="1">
        <f t="shared" si="3"/>
        <v>-186125</v>
      </c>
      <c r="I29" s="47">
        <f>-Personnel!N104</f>
        <v>-93318.75</v>
      </c>
      <c r="J29" s="47">
        <f>-Personnel!O104</f>
        <v>-101062.5</v>
      </c>
      <c r="K29" s="47">
        <f>-Personnel!P104</f>
        <v>-105262.5</v>
      </c>
      <c r="L29" s="47">
        <f>-Personnel!Q104</f>
        <v>-105262.5</v>
      </c>
      <c r="M29" s="1">
        <f t="shared" si="4"/>
        <v>-404906.25</v>
      </c>
      <c r="O29" s="47">
        <f>-Personnel!T104</f>
        <v>-150629.0625</v>
      </c>
      <c r="P29" s="47">
        <f>-Personnel!U104</f>
        <v>-153936.5625</v>
      </c>
      <c r="Q29" s="47">
        <f>-Personnel!V104</f>
        <v>-156141.5625</v>
      </c>
      <c r="R29" s="47">
        <f>-Personnel!W104</f>
        <v>-156141.5625</v>
      </c>
      <c r="S29" s="1">
        <f t="shared" si="5"/>
        <v>-616848.75</v>
      </c>
    </row>
    <row r="30" spans="2:19" x14ac:dyDescent="0.15">
      <c r="B30" s="8" t="s">
        <v>16</v>
      </c>
      <c r="C30" s="3">
        <v>-4000</v>
      </c>
      <c r="D30" s="3">
        <f t="shared" ref="D30:F35" si="6">C30</f>
        <v>-4000</v>
      </c>
      <c r="E30" s="3">
        <f t="shared" si="6"/>
        <v>-4000</v>
      </c>
      <c r="F30" s="3">
        <f t="shared" si="6"/>
        <v>-4000</v>
      </c>
      <c r="G30" s="1">
        <f t="shared" ref="G30:G40" si="7">SUM(C30:F30)</f>
        <v>-16000</v>
      </c>
      <c r="I30" s="3">
        <f>F30</f>
        <v>-4000</v>
      </c>
      <c r="J30" s="3">
        <f t="shared" ref="J30:L35" si="8">I30</f>
        <v>-4000</v>
      </c>
      <c r="K30" s="3">
        <f t="shared" si="8"/>
        <v>-4000</v>
      </c>
      <c r="L30" s="3">
        <f t="shared" si="8"/>
        <v>-4000</v>
      </c>
      <c r="M30" s="1">
        <f t="shared" ref="M30:M40" si="9">SUM(I30:L30)</f>
        <v>-16000</v>
      </c>
      <c r="O30" s="3">
        <f>L30</f>
        <v>-4000</v>
      </c>
      <c r="P30" s="3">
        <f t="shared" ref="P30:R35" si="10">O30</f>
        <v>-4000</v>
      </c>
      <c r="Q30" s="3">
        <f t="shared" si="10"/>
        <v>-4000</v>
      </c>
      <c r="R30" s="3">
        <f t="shared" si="10"/>
        <v>-4000</v>
      </c>
      <c r="S30" s="1">
        <f t="shared" ref="S30:S40" si="11">SUM(O30:R30)</f>
        <v>-16000</v>
      </c>
    </row>
    <row r="31" spans="2:19" x14ac:dyDescent="0.15">
      <c r="B31" s="8" t="s">
        <v>17</v>
      </c>
      <c r="C31" s="3">
        <v>-500</v>
      </c>
      <c r="D31" s="3">
        <f t="shared" si="6"/>
        <v>-500</v>
      </c>
      <c r="E31" s="3">
        <f t="shared" si="6"/>
        <v>-500</v>
      </c>
      <c r="F31" s="3">
        <f t="shared" si="6"/>
        <v>-500</v>
      </c>
      <c r="G31" s="1">
        <f t="shared" si="7"/>
        <v>-2000</v>
      </c>
      <c r="I31" s="3">
        <f>F31</f>
        <v>-500</v>
      </c>
      <c r="J31" s="3">
        <f t="shared" si="8"/>
        <v>-500</v>
      </c>
      <c r="K31" s="3">
        <f t="shared" si="8"/>
        <v>-500</v>
      </c>
      <c r="L31" s="3">
        <f t="shared" si="8"/>
        <v>-500</v>
      </c>
      <c r="M31" s="1">
        <f t="shared" si="9"/>
        <v>-2000</v>
      </c>
      <c r="O31" s="3">
        <f>L31</f>
        <v>-500</v>
      </c>
      <c r="P31" s="3">
        <f t="shared" si="10"/>
        <v>-500</v>
      </c>
      <c r="Q31" s="3">
        <f t="shared" si="10"/>
        <v>-500</v>
      </c>
      <c r="R31" s="3">
        <f t="shared" si="10"/>
        <v>-500</v>
      </c>
      <c r="S31" s="1">
        <f t="shared" si="11"/>
        <v>-2000</v>
      </c>
    </row>
    <row r="32" spans="2:19" x14ac:dyDescent="0.15">
      <c r="B32" s="8" t="s">
        <v>18</v>
      </c>
      <c r="C32" s="3">
        <v>-1000</v>
      </c>
      <c r="D32" s="3">
        <f t="shared" si="6"/>
        <v>-1000</v>
      </c>
      <c r="E32" s="3">
        <f t="shared" si="6"/>
        <v>-1000</v>
      </c>
      <c r="F32" s="3">
        <f t="shared" si="6"/>
        <v>-1000</v>
      </c>
      <c r="G32" s="1">
        <f t="shared" si="7"/>
        <v>-4000</v>
      </c>
      <c r="I32" s="3">
        <f>F32</f>
        <v>-1000</v>
      </c>
      <c r="J32" s="3">
        <f t="shared" si="8"/>
        <v>-1000</v>
      </c>
      <c r="K32" s="3">
        <f t="shared" si="8"/>
        <v>-1000</v>
      </c>
      <c r="L32" s="3">
        <f t="shared" si="8"/>
        <v>-1000</v>
      </c>
      <c r="M32" s="1">
        <f t="shared" si="9"/>
        <v>-4000</v>
      </c>
      <c r="O32" s="3">
        <f>L32</f>
        <v>-1000</v>
      </c>
      <c r="P32" s="3">
        <f t="shared" si="10"/>
        <v>-1000</v>
      </c>
      <c r="Q32" s="3">
        <f t="shared" si="10"/>
        <v>-1000</v>
      </c>
      <c r="R32" s="3">
        <f t="shared" si="10"/>
        <v>-1000</v>
      </c>
      <c r="S32" s="1">
        <f t="shared" si="11"/>
        <v>-4000</v>
      </c>
    </row>
    <row r="33" spans="2:19" x14ac:dyDescent="0.15">
      <c r="B33" s="8" t="s">
        <v>19</v>
      </c>
      <c r="C33" s="3">
        <v>-5000</v>
      </c>
      <c r="D33" s="3">
        <f t="shared" si="6"/>
        <v>-5000</v>
      </c>
      <c r="E33" s="3">
        <f t="shared" si="6"/>
        <v>-5000</v>
      </c>
      <c r="F33" s="3">
        <f t="shared" si="6"/>
        <v>-5000</v>
      </c>
      <c r="G33" s="1">
        <f t="shared" si="7"/>
        <v>-20000</v>
      </c>
      <c r="I33" s="3">
        <v>-10000</v>
      </c>
      <c r="J33" s="3">
        <f t="shared" si="8"/>
        <v>-10000</v>
      </c>
      <c r="K33" s="3">
        <f t="shared" si="8"/>
        <v>-10000</v>
      </c>
      <c r="L33" s="3">
        <f t="shared" si="8"/>
        <v>-10000</v>
      </c>
      <c r="M33" s="1">
        <f t="shared" si="9"/>
        <v>-40000</v>
      </c>
      <c r="O33" s="3">
        <v>-20000</v>
      </c>
      <c r="P33" s="3">
        <f t="shared" si="10"/>
        <v>-20000</v>
      </c>
      <c r="Q33" s="3">
        <f t="shared" si="10"/>
        <v>-20000</v>
      </c>
      <c r="R33" s="3">
        <f t="shared" si="10"/>
        <v>-20000</v>
      </c>
      <c r="S33" s="1">
        <f t="shared" si="11"/>
        <v>-80000</v>
      </c>
    </row>
    <row r="34" spans="2:19" x14ac:dyDescent="0.15">
      <c r="B34" s="8" t="s">
        <v>20</v>
      </c>
      <c r="C34" s="3">
        <v>-1000</v>
      </c>
      <c r="D34" s="3">
        <f t="shared" si="6"/>
        <v>-1000</v>
      </c>
      <c r="E34" s="3">
        <f t="shared" si="6"/>
        <v>-1000</v>
      </c>
      <c r="F34" s="3">
        <f t="shared" si="6"/>
        <v>-1000</v>
      </c>
      <c r="G34" s="1">
        <f t="shared" si="7"/>
        <v>-4000</v>
      </c>
      <c r="I34" s="3">
        <f>F34</f>
        <v>-1000</v>
      </c>
      <c r="J34" s="3">
        <f t="shared" si="8"/>
        <v>-1000</v>
      </c>
      <c r="K34" s="3">
        <f t="shared" si="8"/>
        <v>-1000</v>
      </c>
      <c r="L34" s="3">
        <f t="shared" si="8"/>
        <v>-1000</v>
      </c>
      <c r="M34" s="1">
        <f t="shared" si="9"/>
        <v>-4000</v>
      </c>
      <c r="O34" s="3">
        <f>L34</f>
        <v>-1000</v>
      </c>
      <c r="P34" s="3">
        <f t="shared" si="10"/>
        <v>-1000</v>
      </c>
      <c r="Q34" s="3">
        <f t="shared" si="10"/>
        <v>-1000</v>
      </c>
      <c r="R34" s="3">
        <f t="shared" si="10"/>
        <v>-1000</v>
      </c>
      <c r="S34" s="1">
        <f t="shared" si="11"/>
        <v>-4000</v>
      </c>
    </row>
    <row r="35" spans="2:19" x14ac:dyDescent="0.15">
      <c r="B35" s="8" t="s">
        <v>21</v>
      </c>
      <c r="C35" s="3">
        <v>-2000</v>
      </c>
      <c r="D35" s="3">
        <f t="shared" si="6"/>
        <v>-2000</v>
      </c>
      <c r="E35" s="3">
        <f t="shared" si="6"/>
        <v>-2000</v>
      </c>
      <c r="F35" s="3">
        <f t="shared" si="6"/>
        <v>-2000</v>
      </c>
      <c r="G35" s="1">
        <f t="shared" si="7"/>
        <v>-8000</v>
      </c>
      <c r="I35" s="3">
        <f>F35</f>
        <v>-2000</v>
      </c>
      <c r="J35" s="3">
        <f t="shared" si="8"/>
        <v>-2000</v>
      </c>
      <c r="K35" s="3">
        <f t="shared" si="8"/>
        <v>-2000</v>
      </c>
      <c r="L35" s="3">
        <f t="shared" si="8"/>
        <v>-2000</v>
      </c>
      <c r="M35" s="1">
        <f t="shared" si="9"/>
        <v>-8000</v>
      </c>
      <c r="O35" s="3">
        <f>L35</f>
        <v>-2000</v>
      </c>
      <c r="P35" s="3">
        <f t="shared" si="10"/>
        <v>-2000</v>
      </c>
      <c r="Q35" s="3">
        <f t="shared" si="10"/>
        <v>-2000</v>
      </c>
      <c r="R35" s="3">
        <f t="shared" si="10"/>
        <v>-2000</v>
      </c>
      <c r="S35" s="1">
        <f t="shared" si="11"/>
        <v>-8000</v>
      </c>
    </row>
    <row r="36" spans="2:19" x14ac:dyDescent="0.15">
      <c r="B36" s="8" t="s">
        <v>22</v>
      </c>
      <c r="C36" s="3">
        <v>-5000</v>
      </c>
      <c r="D36" s="3">
        <v>0</v>
      </c>
      <c r="E36" s="3">
        <v>0</v>
      </c>
      <c r="F36" s="3">
        <v>0</v>
      </c>
      <c r="G36" s="1">
        <f t="shared" si="7"/>
        <v>-5000</v>
      </c>
      <c r="I36" s="3">
        <v>-10000</v>
      </c>
      <c r="J36" s="3">
        <v>0</v>
      </c>
      <c r="K36" s="3">
        <v>0</v>
      </c>
      <c r="L36" s="3">
        <v>0</v>
      </c>
      <c r="M36" s="1">
        <f t="shared" si="9"/>
        <v>-10000</v>
      </c>
      <c r="O36" s="3">
        <v>-20000</v>
      </c>
      <c r="P36" s="3">
        <v>0</v>
      </c>
      <c r="Q36" s="3">
        <v>0</v>
      </c>
      <c r="R36" s="3">
        <v>0</v>
      </c>
      <c r="S36" s="1">
        <f t="shared" si="11"/>
        <v>-20000</v>
      </c>
    </row>
    <row r="37" spans="2:19" x14ac:dyDescent="0.15">
      <c r="B37" s="8" t="s">
        <v>23</v>
      </c>
      <c r="C37" s="3">
        <v>-2000</v>
      </c>
      <c r="D37" s="3">
        <f t="shared" ref="D37:F39" si="12">C37</f>
        <v>-2000</v>
      </c>
      <c r="E37" s="3">
        <f t="shared" si="12"/>
        <v>-2000</v>
      </c>
      <c r="F37" s="3">
        <f t="shared" si="12"/>
        <v>-2000</v>
      </c>
      <c r="G37" s="1">
        <f t="shared" si="7"/>
        <v>-8000</v>
      </c>
      <c r="I37" s="3">
        <f>F37</f>
        <v>-2000</v>
      </c>
      <c r="J37" s="3">
        <f t="shared" ref="J37:L39" si="13">I37</f>
        <v>-2000</v>
      </c>
      <c r="K37" s="3">
        <f t="shared" si="13"/>
        <v>-2000</v>
      </c>
      <c r="L37" s="3">
        <f t="shared" si="13"/>
        <v>-2000</v>
      </c>
      <c r="M37" s="1">
        <f t="shared" si="9"/>
        <v>-8000</v>
      </c>
      <c r="O37" s="3">
        <f>L37</f>
        <v>-2000</v>
      </c>
      <c r="P37" s="3">
        <f t="shared" ref="P37:R39" si="14">O37</f>
        <v>-2000</v>
      </c>
      <c r="Q37" s="3">
        <f t="shared" si="14"/>
        <v>-2000</v>
      </c>
      <c r="R37" s="3">
        <f t="shared" si="14"/>
        <v>-2000</v>
      </c>
      <c r="S37" s="1">
        <f t="shared" si="11"/>
        <v>-8000</v>
      </c>
    </row>
    <row r="38" spans="2:19" x14ac:dyDescent="0.15">
      <c r="B38" s="8" t="s">
        <v>24</v>
      </c>
      <c r="C38" s="3">
        <v>-1500</v>
      </c>
      <c r="D38" s="3">
        <f t="shared" si="12"/>
        <v>-1500</v>
      </c>
      <c r="E38" s="3">
        <f t="shared" si="12"/>
        <v>-1500</v>
      </c>
      <c r="F38" s="3">
        <f t="shared" si="12"/>
        <v>-1500</v>
      </c>
      <c r="G38" s="1">
        <f t="shared" si="7"/>
        <v>-6000</v>
      </c>
      <c r="I38" s="3">
        <f>F38</f>
        <v>-1500</v>
      </c>
      <c r="J38" s="3">
        <f t="shared" si="13"/>
        <v>-1500</v>
      </c>
      <c r="K38" s="3">
        <f t="shared" si="13"/>
        <v>-1500</v>
      </c>
      <c r="L38" s="3">
        <f t="shared" si="13"/>
        <v>-1500</v>
      </c>
      <c r="M38" s="1">
        <f t="shared" si="9"/>
        <v>-6000</v>
      </c>
      <c r="O38" s="3">
        <f>L38</f>
        <v>-1500</v>
      </c>
      <c r="P38" s="3">
        <f t="shared" si="14"/>
        <v>-1500</v>
      </c>
      <c r="Q38" s="3">
        <f t="shared" si="14"/>
        <v>-1500</v>
      </c>
      <c r="R38" s="3">
        <f t="shared" si="14"/>
        <v>-1500</v>
      </c>
      <c r="S38" s="1">
        <f t="shared" si="11"/>
        <v>-6000</v>
      </c>
    </row>
    <row r="39" spans="2:19" x14ac:dyDescent="0.15">
      <c r="B39" s="8" t="s">
        <v>25</v>
      </c>
      <c r="C39" s="3">
        <v>-10000</v>
      </c>
      <c r="D39" s="3">
        <f t="shared" si="12"/>
        <v>-10000</v>
      </c>
      <c r="E39" s="3">
        <f t="shared" si="12"/>
        <v>-10000</v>
      </c>
      <c r="F39" s="3">
        <f t="shared" si="12"/>
        <v>-10000</v>
      </c>
      <c r="G39" s="1">
        <f t="shared" si="7"/>
        <v>-40000</v>
      </c>
      <c r="I39" s="3">
        <f>F39</f>
        <v>-10000</v>
      </c>
      <c r="J39" s="3">
        <f t="shared" si="13"/>
        <v>-10000</v>
      </c>
      <c r="K39" s="3">
        <f t="shared" si="13"/>
        <v>-10000</v>
      </c>
      <c r="L39" s="3">
        <f t="shared" si="13"/>
        <v>-10000</v>
      </c>
      <c r="M39" s="1">
        <f t="shared" si="9"/>
        <v>-40000</v>
      </c>
      <c r="O39" s="3">
        <f>L39</f>
        <v>-10000</v>
      </c>
      <c r="P39" s="3">
        <f t="shared" si="14"/>
        <v>-10000</v>
      </c>
      <c r="Q39" s="3">
        <f t="shared" si="14"/>
        <v>-10000</v>
      </c>
      <c r="R39" s="3">
        <f t="shared" si="14"/>
        <v>-10000</v>
      </c>
      <c r="S39" s="1">
        <f t="shared" si="11"/>
        <v>-40000</v>
      </c>
    </row>
    <row r="40" spans="2:19" x14ac:dyDescent="0.15">
      <c r="B40" s="7" t="s">
        <v>26</v>
      </c>
      <c r="C40" s="7">
        <f>SUM(C26:C39)</f>
        <v>-362400</v>
      </c>
      <c r="D40" s="7">
        <f>SUM(D26:D39)</f>
        <v>-357400</v>
      </c>
      <c r="E40" s="7">
        <f>SUM(E26:E39)</f>
        <v>-692225</v>
      </c>
      <c r="F40" s="7">
        <f>SUM(F26:F39)</f>
        <v>-1814980</v>
      </c>
      <c r="G40" s="7">
        <f t="shared" si="7"/>
        <v>-3227005</v>
      </c>
      <c r="I40" s="7">
        <f>SUM(I26:I39)</f>
        <v>-1143161.25</v>
      </c>
      <c r="J40" s="7">
        <f>SUM(J26:J39)</f>
        <v>-1224537.5</v>
      </c>
      <c r="K40" s="7">
        <f>SUM(K26:K39)</f>
        <v>-1274097.5</v>
      </c>
      <c r="L40" s="7">
        <f>SUM(L26:L39)</f>
        <v>-2237714</v>
      </c>
      <c r="M40" s="7">
        <f t="shared" si="9"/>
        <v>-5879510.25</v>
      </c>
      <c r="O40" s="7">
        <f>SUM(O26:O39)</f>
        <v>-1839422.9375</v>
      </c>
      <c r="P40" s="7">
        <f>SUM(P26:P39)</f>
        <v>-1858451.4375</v>
      </c>
      <c r="Q40" s="7">
        <f>SUM(Q26:Q39)</f>
        <v>-1884470.4375</v>
      </c>
      <c r="R40" s="7">
        <f>SUM(R26:R39)</f>
        <v>-2896267.7625000002</v>
      </c>
      <c r="S40" s="7">
        <f t="shared" si="11"/>
        <v>-8478612.5749999993</v>
      </c>
    </row>
    <row r="42" spans="2:19" x14ac:dyDescent="0.15">
      <c r="B42" s="2" t="s">
        <v>82</v>
      </c>
      <c r="C42" s="2">
        <f>C19+C40</f>
        <v>-337400</v>
      </c>
      <c r="D42" s="2">
        <f>D19+D40</f>
        <v>-307400</v>
      </c>
      <c r="E42" s="2">
        <f>E19+E40</f>
        <v>-597225</v>
      </c>
      <c r="F42" s="2">
        <f>F19+F40</f>
        <v>-1674980</v>
      </c>
      <c r="G42" s="2">
        <f>SUM(C42:F42)</f>
        <v>-2917005</v>
      </c>
      <c r="I42" s="2">
        <f>I19+I40</f>
        <v>-908161.25</v>
      </c>
      <c r="J42" s="2">
        <f>J19+J40</f>
        <v>-899537.5</v>
      </c>
      <c r="K42" s="2">
        <f>K19+K40</f>
        <v>-764097.5</v>
      </c>
      <c r="L42" s="2">
        <f>L19+L40</f>
        <v>-1547714</v>
      </c>
      <c r="M42" s="2">
        <f>SUM(I42:L42)</f>
        <v>-4119510.25</v>
      </c>
      <c r="O42" s="2">
        <f>O19+O40</f>
        <v>-769422.9375</v>
      </c>
      <c r="P42" s="2">
        <f>P19+P40</f>
        <v>-418451.4375</v>
      </c>
      <c r="Q42" s="2">
        <f>Q19+Q40</f>
        <v>310529.5625</v>
      </c>
      <c r="R42" s="2">
        <f>R19+R40</f>
        <v>33732.237499999814</v>
      </c>
      <c r="S42" s="2">
        <f>SUM(O42:R42)</f>
        <v>-843612.57500000019</v>
      </c>
    </row>
    <row r="43" spans="2:19" s="58" customFormat="1" x14ac:dyDescent="0.15">
      <c r="B43" s="9"/>
      <c r="C43" s="10"/>
      <c r="D43" s="10"/>
      <c r="E43" s="10"/>
      <c r="F43" s="10"/>
      <c r="G43" s="10"/>
      <c r="I43" s="10"/>
      <c r="J43" s="10"/>
      <c r="K43" s="10"/>
      <c r="L43" s="10"/>
      <c r="M43" s="10"/>
      <c r="O43" s="10"/>
      <c r="P43" s="10"/>
      <c r="Q43" s="10"/>
      <c r="R43" s="10"/>
      <c r="S43" s="10"/>
    </row>
    <row r="44" spans="2:19" s="58" customFormat="1" x14ac:dyDescent="0.15">
      <c r="B44" s="9"/>
      <c r="C44" s="10"/>
      <c r="D44" s="10"/>
      <c r="E44" s="10"/>
      <c r="F44" s="10"/>
      <c r="G44" s="10"/>
      <c r="I44" s="10"/>
      <c r="J44" s="10"/>
      <c r="K44" s="10"/>
      <c r="L44" s="10"/>
      <c r="M44" s="10"/>
      <c r="O44" s="10"/>
      <c r="P44" s="10"/>
      <c r="Q44" s="10"/>
      <c r="R44" s="10"/>
      <c r="S44" s="10"/>
    </row>
    <row r="45" spans="2:19" x14ac:dyDescent="0.15">
      <c r="B45" s="11" t="s">
        <v>84</v>
      </c>
      <c r="C45" s="11" t="b">
        <f>C42&gt;0</f>
        <v>0</v>
      </c>
      <c r="D45" s="11" t="b">
        <f>D42&gt;0</f>
        <v>0</v>
      </c>
      <c r="E45" s="11" t="b">
        <f>E42&gt;0</f>
        <v>0</v>
      </c>
      <c r="F45" s="11" t="b">
        <f>F42&gt;0</f>
        <v>0</v>
      </c>
      <c r="G45" s="11" t="b">
        <f>G42&gt;0</f>
        <v>0</v>
      </c>
      <c r="I45" s="11" t="b">
        <f>I42&gt;0</f>
        <v>0</v>
      </c>
      <c r="J45" s="11" t="b">
        <f>J42&gt;0</f>
        <v>0</v>
      </c>
      <c r="K45" s="11" t="b">
        <f>K42&gt;0</f>
        <v>0</v>
      </c>
      <c r="L45" s="11" t="b">
        <f>L42&gt;0</f>
        <v>0</v>
      </c>
      <c r="M45" s="11" t="b">
        <f>M42&gt;0</f>
        <v>0</v>
      </c>
      <c r="O45" s="11" t="b">
        <f>O42&gt;0</f>
        <v>0</v>
      </c>
      <c r="P45" s="11" t="b">
        <f>P42&gt;0</f>
        <v>0</v>
      </c>
      <c r="Q45" s="11" t="b">
        <f>Q42&gt;0</f>
        <v>1</v>
      </c>
      <c r="R45" s="11" t="b">
        <f>R42&gt;0</f>
        <v>1</v>
      </c>
      <c r="S45" s="11" t="b">
        <f>S42&gt;0</f>
        <v>0</v>
      </c>
    </row>
    <row r="46" spans="2:19" ht="16" x14ac:dyDescent="0.2">
      <c r="C46" s="59" t="str">
        <f>C4&amp;" "&amp;C3</f>
        <v>Q1 2019</v>
      </c>
      <c r="D46" s="59" t="str">
        <f>D4&amp;" "&amp;C3</f>
        <v>Q2 2019</v>
      </c>
      <c r="E46" s="59" t="str">
        <f>E4&amp;" "&amp;C3</f>
        <v>Q3 2019</v>
      </c>
      <c r="F46" s="59" t="str">
        <f>F4&amp;" "&amp;C3</f>
        <v>Q4 2019</v>
      </c>
      <c r="G46" s="59"/>
      <c r="I46" s="59" t="str">
        <f>I4&amp;" "&amp;I3</f>
        <v>Q1 2020</v>
      </c>
      <c r="J46" s="59" t="str">
        <f>J4&amp;" "&amp;I3</f>
        <v>Q2 2020</v>
      </c>
      <c r="K46" s="59" t="str">
        <f>K4&amp;" "&amp;I3</f>
        <v>Q3 2020</v>
      </c>
      <c r="L46" s="59" t="str">
        <f>L4&amp;" "&amp;I3</f>
        <v>Q4 2020</v>
      </c>
      <c r="M46" s="59"/>
      <c r="O46" s="59" t="str">
        <f>O4&amp;" "&amp;O3</f>
        <v>Q1 2021</v>
      </c>
      <c r="P46" s="59" t="str">
        <f>P4&amp;" "&amp;O3</f>
        <v>Q2 2021</v>
      </c>
      <c r="Q46" s="59" t="str">
        <f>Q4&amp;" "&amp;O3</f>
        <v>Q3 2021</v>
      </c>
      <c r="R46" s="59" t="str">
        <f>R4&amp;" "&amp;O3</f>
        <v>Q4 2021</v>
      </c>
      <c r="S46" s="59"/>
    </row>
    <row r="50" spans="2:19" x14ac:dyDescent="0.15">
      <c r="B50" s="6" t="s">
        <v>29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2" spans="2:19" x14ac:dyDescent="0.15">
      <c r="B52" s="4" t="s">
        <v>29</v>
      </c>
    </row>
    <row r="53" spans="2:19" x14ac:dyDescent="0.15">
      <c r="B53" s="8" t="s">
        <v>30</v>
      </c>
      <c r="C53" s="75">
        <v>1000000</v>
      </c>
      <c r="D53" s="1">
        <f>C56</f>
        <v>10662600</v>
      </c>
      <c r="E53" s="1">
        <f t="shared" ref="E53:F53" si="15">D56</f>
        <v>10355200</v>
      </c>
      <c r="F53" s="1">
        <f t="shared" si="15"/>
        <v>9757975</v>
      </c>
      <c r="G53" s="1">
        <f>C53</f>
        <v>1000000</v>
      </c>
      <c r="I53" s="1">
        <f>G56</f>
        <v>8082995</v>
      </c>
      <c r="J53" s="1">
        <f>I56</f>
        <v>7174833.75</v>
      </c>
      <c r="K53" s="1">
        <f t="shared" ref="K53:L53" si="16">J56</f>
        <v>6275296.25</v>
      </c>
      <c r="L53" s="1">
        <f t="shared" si="16"/>
        <v>5511198.75</v>
      </c>
      <c r="M53" s="1">
        <f>I53</f>
        <v>8082995</v>
      </c>
      <c r="O53" s="1">
        <f>M56</f>
        <v>3963484.75</v>
      </c>
      <c r="P53" s="1">
        <f>O56</f>
        <v>3194061.8125</v>
      </c>
      <c r="Q53" s="1">
        <f t="shared" ref="Q53:R53" si="17">P56</f>
        <v>2775610.375</v>
      </c>
      <c r="R53" s="1">
        <f t="shared" si="17"/>
        <v>3086139.9375</v>
      </c>
      <c r="S53" s="1">
        <f>O53</f>
        <v>3963484.75</v>
      </c>
    </row>
    <row r="54" spans="2:19" x14ac:dyDescent="0.15">
      <c r="B54" s="8" t="s">
        <v>31</v>
      </c>
      <c r="C54" s="1">
        <f>C42</f>
        <v>-337400</v>
      </c>
      <c r="D54" s="1">
        <f t="shared" ref="D54:F54" si="18">D42</f>
        <v>-307400</v>
      </c>
      <c r="E54" s="1">
        <f t="shared" si="18"/>
        <v>-597225</v>
      </c>
      <c r="F54" s="1">
        <f t="shared" si="18"/>
        <v>-1674980</v>
      </c>
      <c r="G54" s="1">
        <f>SUM(C54:F54)</f>
        <v>-2917005</v>
      </c>
      <c r="I54" s="1">
        <f>I42</f>
        <v>-908161.25</v>
      </c>
      <c r="J54" s="1">
        <f t="shared" ref="J54:L54" si="19">J42</f>
        <v>-899537.5</v>
      </c>
      <c r="K54" s="1">
        <f t="shared" si="19"/>
        <v>-764097.5</v>
      </c>
      <c r="L54" s="1">
        <f t="shared" si="19"/>
        <v>-1547714</v>
      </c>
      <c r="M54" s="1">
        <f>SUM(I54:L54)</f>
        <v>-4119510.25</v>
      </c>
      <c r="O54" s="1">
        <f>O42</f>
        <v>-769422.9375</v>
      </c>
      <c r="P54" s="1">
        <f t="shared" ref="P54:R54" si="20">P42</f>
        <v>-418451.4375</v>
      </c>
      <c r="Q54" s="1">
        <f t="shared" si="20"/>
        <v>310529.5625</v>
      </c>
      <c r="R54" s="1">
        <f t="shared" si="20"/>
        <v>33732.237499999814</v>
      </c>
      <c r="S54" s="1">
        <f>SUM(O54:R54)</f>
        <v>-843612.57500000019</v>
      </c>
    </row>
    <row r="55" spans="2:19" x14ac:dyDescent="0.15">
      <c r="B55" s="8" t="s">
        <v>32</v>
      </c>
      <c r="C55" s="75">
        <v>10000000</v>
      </c>
      <c r="D55" s="3">
        <v>0</v>
      </c>
      <c r="E55" s="3">
        <v>0</v>
      </c>
      <c r="F55" s="3">
        <v>0</v>
      </c>
      <c r="G55" s="1">
        <f>SUM(C55:F55)</f>
        <v>10000000</v>
      </c>
      <c r="I55" s="3">
        <v>0</v>
      </c>
      <c r="J55" s="3">
        <v>0</v>
      </c>
      <c r="K55" s="3">
        <v>0</v>
      </c>
      <c r="L55" s="3">
        <v>0</v>
      </c>
      <c r="M55" s="1">
        <f>SUM(I55:L55)</f>
        <v>0</v>
      </c>
      <c r="O55" s="3">
        <v>0</v>
      </c>
      <c r="P55" s="3">
        <v>0</v>
      </c>
      <c r="Q55" s="3">
        <v>0</v>
      </c>
      <c r="R55" s="3">
        <v>0</v>
      </c>
      <c r="S55" s="1">
        <f>SUM(O55:R55)</f>
        <v>0</v>
      </c>
    </row>
    <row r="56" spans="2:19" x14ac:dyDescent="0.15">
      <c r="B56" s="7" t="s">
        <v>33</v>
      </c>
      <c r="C56" s="7">
        <f>SUM(C53:C55)</f>
        <v>10662600</v>
      </c>
      <c r="D56" s="7">
        <f t="shared" ref="D56:G56" si="21">SUM(D53:D55)</f>
        <v>10355200</v>
      </c>
      <c r="E56" s="7">
        <f t="shared" si="21"/>
        <v>9757975</v>
      </c>
      <c r="F56" s="7">
        <f t="shared" si="21"/>
        <v>8082995</v>
      </c>
      <c r="G56" s="7">
        <f t="shared" si="21"/>
        <v>8082995</v>
      </c>
      <c r="I56" s="7">
        <f>SUM(I53:I55)</f>
        <v>7174833.75</v>
      </c>
      <c r="J56" s="7">
        <f t="shared" ref="J56" si="22">SUM(J53:J55)</f>
        <v>6275296.25</v>
      </c>
      <c r="K56" s="7">
        <f t="shared" ref="K56" si="23">SUM(K53:K55)</f>
        <v>5511198.75</v>
      </c>
      <c r="L56" s="7">
        <f t="shared" ref="L56" si="24">SUM(L53:L55)</f>
        <v>3963484.75</v>
      </c>
      <c r="M56" s="7">
        <f t="shared" ref="M56" si="25">SUM(M53:M55)</f>
        <v>3963484.75</v>
      </c>
      <c r="O56" s="7">
        <f>SUM(O53:O55)</f>
        <v>3194061.8125</v>
      </c>
      <c r="P56" s="7">
        <f t="shared" ref="P56" si="26">SUM(P53:P55)</f>
        <v>2775610.375</v>
      </c>
      <c r="Q56" s="7">
        <f t="shared" ref="Q56" si="27">SUM(Q53:Q55)</f>
        <v>3086139.9375</v>
      </c>
      <c r="R56" s="7">
        <f t="shared" ref="R56" si="28">SUM(R53:R55)</f>
        <v>3119872.1749999998</v>
      </c>
      <c r="S56" s="7">
        <f t="shared" ref="S56" si="29">SUM(S53:S55)</f>
        <v>3119872.1749999998</v>
      </c>
    </row>
    <row r="57" spans="2:19" x14ac:dyDescent="0.15">
      <c r="B57" s="8"/>
    </row>
    <row r="58" spans="2:19" x14ac:dyDescent="0.15">
      <c r="B58" s="11" t="s">
        <v>86</v>
      </c>
      <c r="C58" s="11" t="b">
        <f>C56&lt;0</f>
        <v>0</v>
      </c>
      <c r="D58" s="11" t="b">
        <f t="shared" ref="D58:G58" si="30">D56&lt;0</f>
        <v>0</v>
      </c>
      <c r="E58" s="11" t="b">
        <f t="shared" si="30"/>
        <v>0</v>
      </c>
      <c r="F58" s="11" t="b">
        <f t="shared" si="30"/>
        <v>0</v>
      </c>
      <c r="G58" s="11" t="b">
        <f t="shared" si="30"/>
        <v>0</v>
      </c>
      <c r="I58" s="11" t="b">
        <f>I56&lt;0</f>
        <v>0</v>
      </c>
      <c r="J58" s="11" t="b">
        <f t="shared" ref="J58:M58" si="31">J56&lt;0</f>
        <v>0</v>
      </c>
      <c r="K58" s="11" t="b">
        <f t="shared" si="31"/>
        <v>0</v>
      </c>
      <c r="L58" s="11" t="b">
        <f t="shared" si="31"/>
        <v>0</v>
      </c>
      <c r="M58" s="11" t="b">
        <f t="shared" si="31"/>
        <v>0</v>
      </c>
      <c r="O58" s="11" t="b">
        <f>O56&lt;0</f>
        <v>0</v>
      </c>
      <c r="P58" s="11" t="b">
        <f t="shared" ref="P58:S58" si="32">P56&lt;0</f>
        <v>0</v>
      </c>
      <c r="Q58" s="11" t="b">
        <f t="shared" si="32"/>
        <v>0</v>
      </c>
      <c r="R58" s="11" t="b">
        <f t="shared" si="32"/>
        <v>0</v>
      </c>
      <c r="S58" s="11" t="b">
        <f t="shared" si="32"/>
        <v>0</v>
      </c>
    </row>
    <row r="59" spans="2:19" ht="16" x14ac:dyDescent="0.2">
      <c r="C59" s="59" t="str">
        <f>C4&amp;" "&amp;C3</f>
        <v>Q1 2019</v>
      </c>
      <c r="D59" s="59" t="str">
        <f>D4&amp;" "&amp;C3</f>
        <v>Q2 2019</v>
      </c>
      <c r="E59" s="59" t="str">
        <f>E4&amp;" "&amp;C3</f>
        <v>Q3 2019</v>
      </c>
      <c r="F59" s="59" t="str">
        <f>F4&amp;" "&amp;C3</f>
        <v>Q4 2019</v>
      </c>
      <c r="I59" s="59" t="str">
        <f>I4&amp;" "&amp;I3</f>
        <v>Q1 2020</v>
      </c>
      <c r="J59" s="59" t="str">
        <f>J4&amp;" "&amp;I3</f>
        <v>Q2 2020</v>
      </c>
      <c r="K59" s="59" t="str">
        <f>K4&amp;" "&amp;I3</f>
        <v>Q3 2020</v>
      </c>
      <c r="L59" s="59" t="str">
        <f>L4&amp;" "&amp;I3</f>
        <v>Q4 2020</v>
      </c>
      <c r="O59" s="59" t="str">
        <f>O4&amp;" "&amp;O3</f>
        <v>Q1 2021</v>
      </c>
      <c r="P59" s="59" t="str">
        <f>P4&amp;" "&amp;O3</f>
        <v>Q2 2021</v>
      </c>
      <c r="Q59" s="59" t="str">
        <f>Q4&amp;" "&amp;O3</f>
        <v>Q3 2021</v>
      </c>
      <c r="R59" s="59" t="str">
        <f>R4&amp;" "&amp;O3</f>
        <v>Q4 2021</v>
      </c>
    </row>
    <row r="62" spans="2:19" ht="16" x14ac:dyDescent="0.2">
      <c r="B62" s="60" t="s">
        <v>83</v>
      </c>
    </row>
    <row r="63" spans="2:19" ht="16" x14ac:dyDescent="0.2">
      <c r="B63" s="61" t="b">
        <f>COUNTIF(C58:T58,"=TRUE")&gt;0</f>
        <v>0</v>
      </c>
    </row>
    <row r="64" spans="2:19" ht="16" x14ac:dyDescent="0.2">
      <c r="B64" s="61" t="str">
        <f>_xlfn.IFNA(HLOOKUP(TRUE,C58:T59,2,FALSE),"NOT REQUIRED")</f>
        <v>NOT REQUIRED</v>
      </c>
    </row>
    <row r="68" spans="2:2" ht="16" x14ac:dyDescent="0.2">
      <c r="B68" s="60" t="s">
        <v>85</v>
      </c>
    </row>
    <row r="69" spans="2:2" ht="16" x14ac:dyDescent="0.2">
      <c r="B69" s="61" t="str">
        <f>_xlfn.IFNA(HLOOKUP(TRUE,C45:T46,2,FALSE),"")</f>
        <v>Q3 2021</v>
      </c>
    </row>
  </sheetData>
  <conditionalFormatting sqref="B63">
    <cfRule type="expression" dxfId="1" priority="1">
      <formula>$B$63=TRUE</formula>
    </cfRule>
    <cfRule type="expression" dxfId="0" priority="2">
      <formula>$B$63=FALSE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104"/>
  <sheetViews>
    <sheetView showGridLines="0" workbookViewId="0">
      <pane xSplit="6" ySplit="5" topLeftCell="G6" activePane="bottomRight" state="frozen"/>
      <selection pane="topRight" activeCell="W1" sqref="W1"/>
      <selection pane="bottomLeft" activeCell="A7" sqref="A7"/>
      <selection pane="bottomRight"/>
    </sheetView>
  </sheetViews>
  <sheetFormatPr baseColWidth="10" defaultColWidth="8.83203125" defaultRowHeight="14" outlineLevelCol="1" x14ac:dyDescent="0.15"/>
  <cols>
    <col min="1" max="1" width="3" style="12" customWidth="1"/>
    <col min="2" max="2" width="20.83203125" style="12" customWidth="1"/>
    <col min="3" max="3" width="14.83203125" style="12" customWidth="1"/>
    <col min="4" max="4" width="11" style="13" customWidth="1"/>
    <col min="5" max="5" width="11" style="13" hidden="1" customWidth="1" outlineLevel="1"/>
    <col min="6" max="6" width="13" style="14" customWidth="1" collapsed="1"/>
    <col min="7" max="7" width="2.33203125" style="12" customWidth="1"/>
    <col min="8" max="9" width="10.5" style="12" hidden="1" customWidth="1" outlineLevel="1"/>
    <col min="10" max="10" width="10.83203125" style="12" hidden="1" customWidth="1" outlineLevel="1"/>
    <col min="11" max="11" width="10.6640625" style="12" hidden="1" customWidth="1" outlineLevel="1"/>
    <col min="12" max="12" width="10.6640625" style="12" customWidth="1" collapsed="1"/>
    <col min="13" max="13" width="4" style="12" customWidth="1"/>
    <col min="14" max="15" width="10.5" style="12" hidden="1" customWidth="1" outlineLevel="1"/>
    <col min="16" max="16" width="10.83203125" style="12" hidden="1" customWidth="1" outlineLevel="1"/>
    <col min="17" max="17" width="10.6640625" style="12" hidden="1" customWidth="1" outlineLevel="1"/>
    <col min="18" max="18" width="10.6640625" style="12" customWidth="1" collapsed="1"/>
    <col min="19" max="19" width="4" style="12" customWidth="1"/>
    <col min="20" max="21" width="10.5" style="12" hidden="1" customWidth="1" outlineLevel="1"/>
    <col min="22" max="22" width="10.83203125" style="12" hidden="1" customWidth="1" outlineLevel="1"/>
    <col min="23" max="23" width="10.6640625" style="12" hidden="1" customWidth="1" outlineLevel="1"/>
    <col min="24" max="24" width="10.6640625" style="12" customWidth="1" collapsed="1"/>
    <col min="25" max="16384" width="8.83203125" style="12"/>
  </cols>
  <sheetData>
    <row r="1" spans="1:24" s="11" customFormat="1" ht="20" x14ac:dyDescent="0.2">
      <c r="A1" s="5" t="s">
        <v>15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s="11" customFormat="1" x14ac:dyDescent="0.15">
      <c r="A2" s="9" t="s">
        <v>0</v>
      </c>
    </row>
    <row r="3" spans="1:24" x14ac:dyDescent="0.15">
      <c r="C3" s="48" t="s">
        <v>77</v>
      </c>
      <c r="D3" s="49">
        <v>0.05</v>
      </c>
      <c r="E3" s="12"/>
      <c r="H3" s="45">
        <v>43555</v>
      </c>
      <c r="I3" s="45">
        <v>43646</v>
      </c>
      <c r="J3" s="45">
        <v>43738</v>
      </c>
      <c r="K3" s="45">
        <v>43830</v>
      </c>
      <c r="N3" s="45">
        <f>EDATE(H3,12)</f>
        <v>43921</v>
      </c>
      <c r="O3" s="45">
        <f t="shared" ref="O3:Q3" si="0">EDATE(I3,12)</f>
        <v>44012</v>
      </c>
      <c r="P3" s="45">
        <f t="shared" si="0"/>
        <v>44104</v>
      </c>
      <c r="Q3" s="45">
        <f t="shared" si="0"/>
        <v>44196</v>
      </c>
      <c r="T3" s="45">
        <f>EDATE(N3,12)</f>
        <v>44286</v>
      </c>
      <c r="U3" s="45">
        <f t="shared" ref="U3" si="1">EDATE(O3,12)</f>
        <v>44377</v>
      </c>
      <c r="V3" s="45">
        <f t="shared" ref="V3" si="2">EDATE(P3,12)</f>
        <v>44469</v>
      </c>
      <c r="W3" s="45">
        <f t="shared" ref="W3" si="3">EDATE(Q3,12)</f>
        <v>44561</v>
      </c>
    </row>
    <row r="4" spans="1:24" s="15" customFormat="1" x14ac:dyDescent="0.15">
      <c r="D4" s="16"/>
      <c r="E4" s="13"/>
      <c r="F4" s="14"/>
      <c r="G4" s="11"/>
      <c r="H4" s="17">
        <v>2019</v>
      </c>
      <c r="I4" s="17"/>
      <c r="J4" s="17"/>
      <c r="K4" s="17"/>
      <c r="L4" s="18">
        <v>2019</v>
      </c>
      <c r="M4" s="11"/>
      <c r="N4" s="17">
        <v>2020</v>
      </c>
      <c r="O4" s="17"/>
      <c r="P4" s="17"/>
      <c r="Q4" s="17"/>
      <c r="R4" s="18">
        <v>2020</v>
      </c>
      <c r="S4" s="11"/>
      <c r="T4" s="17">
        <v>2021</v>
      </c>
      <c r="U4" s="17"/>
      <c r="V4" s="17"/>
      <c r="W4" s="17"/>
      <c r="X4" s="18">
        <v>2021</v>
      </c>
    </row>
    <row r="5" spans="1:24" s="15" customFormat="1" x14ac:dyDescent="0.15">
      <c r="B5" s="19" t="s">
        <v>34</v>
      </c>
      <c r="C5" s="19" t="s">
        <v>35</v>
      </c>
      <c r="D5" s="20" t="s">
        <v>36</v>
      </c>
      <c r="E5" s="20" t="s">
        <v>37</v>
      </c>
      <c r="F5" s="63" t="s">
        <v>38</v>
      </c>
      <c r="G5" s="11"/>
      <c r="H5" s="18" t="s">
        <v>1</v>
      </c>
      <c r="I5" s="18" t="s">
        <v>2</v>
      </c>
      <c r="J5" s="18" t="s">
        <v>3</v>
      </c>
      <c r="K5" s="18" t="s">
        <v>4</v>
      </c>
      <c r="L5" s="18" t="s">
        <v>5</v>
      </c>
      <c r="M5" s="11"/>
      <c r="N5" s="18" t="s">
        <v>1</v>
      </c>
      <c r="O5" s="18" t="s">
        <v>2</v>
      </c>
      <c r="P5" s="18" t="s">
        <v>3</v>
      </c>
      <c r="Q5" s="18" t="s">
        <v>4</v>
      </c>
      <c r="R5" s="18" t="s">
        <v>5</v>
      </c>
      <c r="S5" s="11"/>
      <c r="T5" s="18" t="s">
        <v>1</v>
      </c>
      <c r="U5" s="18" t="s">
        <v>2</v>
      </c>
      <c r="V5" s="18" t="s">
        <v>3</v>
      </c>
      <c r="W5" s="18" t="s">
        <v>4</v>
      </c>
      <c r="X5" s="18" t="s">
        <v>5</v>
      </c>
    </row>
    <row r="6" spans="1:24" s="24" customFormat="1" x14ac:dyDescent="0.15">
      <c r="B6" s="12"/>
      <c r="C6" s="64"/>
      <c r="D6" s="21"/>
      <c r="E6" s="21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x14ac:dyDescent="0.15">
      <c r="B7" s="25" t="s">
        <v>66</v>
      </c>
      <c r="C7" s="65" t="s">
        <v>41</v>
      </c>
      <c r="D7" s="26">
        <v>43466</v>
      </c>
      <c r="E7" s="27"/>
      <c r="F7" s="66">
        <v>100000</v>
      </c>
      <c r="G7" s="28"/>
      <c r="H7" s="28">
        <f t="shared" ref="H7:K23" si="4">IF($D7&lt;=H$3,IF(ISBLANK($E7),$F7/4,IF($E7&gt;H$3,$F7/4,0)),0)</f>
        <v>25000</v>
      </c>
      <c r="I7" s="28">
        <f t="shared" si="4"/>
        <v>25000</v>
      </c>
      <c r="J7" s="28">
        <f t="shared" si="4"/>
        <v>25000</v>
      </c>
      <c r="K7" s="28">
        <f t="shared" si="4"/>
        <v>25000</v>
      </c>
      <c r="L7" s="28">
        <f t="shared" ref="L7:L23" si="5">SUM(H7:K7)</f>
        <v>100000</v>
      </c>
      <c r="M7" s="28"/>
      <c r="N7" s="28">
        <f t="shared" ref="N7:Q23" si="6">IF($D7&lt;=N$3,IF(ISBLANK($E7),$F7/4,IF($E7&gt;N$3,$F7/4,0)),0)*(1+$D$3)</f>
        <v>26250</v>
      </c>
      <c r="O7" s="28">
        <f t="shared" si="6"/>
        <v>26250</v>
      </c>
      <c r="P7" s="28">
        <f t="shared" si="6"/>
        <v>26250</v>
      </c>
      <c r="Q7" s="28">
        <f t="shared" si="6"/>
        <v>26250</v>
      </c>
      <c r="R7" s="28">
        <f t="shared" ref="R7:R23" si="7">SUM(N7:Q7)</f>
        <v>105000</v>
      </c>
      <c r="S7" s="28"/>
      <c r="T7" s="28">
        <f t="shared" ref="T7:W23" si="8">IF($D7&lt;=T$3,IF(ISBLANK($E7),$F7/4,IF($E7&gt;T$3,$F7/4,0)),0)*(1+$D$3)^2</f>
        <v>27562.5</v>
      </c>
      <c r="U7" s="28">
        <f t="shared" si="8"/>
        <v>27562.5</v>
      </c>
      <c r="V7" s="28">
        <f t="shared" si="8"/>
        <v>27562.5</v>
      </c>
      <c r="W7" s="28">
        <f t="shared" si="8"/>
        <v>27562.5</v>
      </c>
      <c r="X7" s="28">
        <f t="shared" ref="X7:X23" si="9">SUM(T7:W7)</f>
        <v>110250</v>
      </c>
    </row>
    <row r="8" spans="1:24" x14ac:dyDescent="0.15">
      <c r="B8" s="25" t="s">
        <v>67</v>
      </c>
      <c r="C8" s="65" t="s">
        <v>41</v>
      </c>
      <c r="D8" s="26">
        <v>43466</v>
      </c>
      <c r="E8" s="27"/>
      <c r="F8" s="66">
        <v>100000</v>
      </c>
      <c r="G8" s="28"/>
      <c r="H8" s="28">
        <f t="shared" si="4"/>
        <v>25000</v>
      </c>
      <c r="I8" s="28">
        <f t="shared" si="4"/>
        <v>25000</v>
      </c>
      <c r="J8" s="28">
        <f t="shared" si="4"/>
        <v>25000</v>
      </c>
      <c r="K8" s="28">
        <f t="shared" si="4"/>
        <v>25000</v>
      </c>
      <c r="L8" s="28">
        <f t="shared" si="5"/>
        <v>100000</v>
      </c>
      <c r="M8" s="28"/>
      <c r="N8" s="28">
        <f t="shared" si="6"/>
        <v>26250</v>
      </c>
      <c r="O8" s="28">
        <f t="shared" si="6"/>
        <v>26250</v>
      </c>
      <c r="P8" s="28">
        <f t="shared" si="6"/>
        <v>26250</v>
      </c>
      <c r="Q8" s="28">
        <f t="shared" si="6"/>
        <v>26250</v>
      </c>
      <c r="R8" s="28">
        <f t="shared" si="7"/>
        <v>105000</v>
      </c>
      <c r="S8" s="28"/>
      <c r="T8" s="28">
        <f t="shared" si="8"/>
        <v>27562.5</v>
      </c>
      <c r="U8" s="28">
        <f t="shared" si="8"/>
        <v>27562.5</v>
      </c>
      <c r="V8" s="28">
        <f t="shared" si="8"/>
        <v>27562.5</v>
      </c>
      <c r="W8" s="28">
        <f t="shared" si="8"/>
        <v>27562.5</v>
      </c>
      <c r="X8" s="28">
        <f t="shared" si="9"/>
        <v>110250</v>
      </c>
    </row>
    <row r="9" spans="1:24" x14ac:dyDescent="0.15">
      <c r="B9" s="25" t="s">
        <v>40</v>
      </c>
      <c r="C9" s="65" t="s">
        <v>41</v>
      </c>
      <c r="D9" s="26">
        <v>43466</v>
      </c>
      <c r="E9" s="27"/>
      <c r="F9" s="66">
        <v>70000</v>
      </c>
      <c r="G9" s="28"/>
      <c r="H9" s="28">
        <f t="shared" si="4"/>
        <v>17500</v>
      </c>
      <c r="I9" s="28">
        <f t="shared" si="4"/>
        <v>17500</v>
      </c>
      <c r="J9" s="28">
        <f t="shared" si="4"/>
        <v>17500</v>
      </c>
      <c r="K9" s="28">
        <f t="shared" si="4"/>
        <v>17500</v>
      </c>
      <c r="L9" s="28">
        <f t="shared" si="5"/>
        <v>70000</v>
      </c>
      <c r="M9" s="28"/>
      <c r="N9" s="28">
        <f t="shared" si="6"/>
        <v>18375</v>
      </c>
      <c r="O9" s="28">
        <f t="shared" si="6"/>
        <v>18375</v>
      </c>
      <c r="P9" s="28">
        <f t="shared" si="6"/>
        <v>18375</v>
      </c>
      <c r="Q9" s="28">
        <f t="shared" si="6"/>
        <v>18375</v>
      </c>
      <c r="R9" s="28">
        <f t="shared" si="7"/>
        <v>73500</v>
      </c>
      <c r="S9" s="28"/>
      <c r="T9" s="28">
        <f t="shared" si="8"/>
        <v>19293.75</v>
      </c>
      <c r="U9" s="28">
        <f t="shared" si="8"/>
        <v>19293.75</v>
      </c>
      <c r="V9" s="28">
        <f t="shared" si="8"/>
        <v>19293.75</v>
      </c>
      <c r="W9" s="28">
        <f t="shared" si="8"/>
        <v>19293.75</v>
      </c>
      <c r="X9" s="28">
        <f t="shared" si="9"/>
        <v>77175</v>
      </c>
    </row>
    <row r="10" spans="1:24" x14ac:dyDescent="0.15">
      <c r="B10" s="25" t="s">
        <v>93</v>
      </c>
      <c r="C10" s="65" t="s">
        <v>41</v>
      </c>
      <c r="D10" s="26">
        <v>44197</v>
      </c>
      <c r="E10" s="27"/>
      <c r="F10" s="66">
        <v>250000</v>
      </c>
      <c r="G10" s="28"/>
      <c r="H10" s="28">
        <f t="shared" si="4"/>
        <v>0</v>
      </c>
      <c r="I10" s="28">
        <f t="shared" si="4"/>
        <v>0</v>
      </c>
      <c r="J10" s="28">
        <f t="shared" si="4"/>
        <v>0</v>
      </c>
      <c r="K10" s="28">
        <f t="shared" si="4"/>
        <v>0</v>
      </c>
      <c r="L10" s="28">
        <f t="shared" si="5"/>
        <v>0</v>
      </c>
      <c r="M10" s="28"/>
      <c r="N10" s="28">
        <f t="shared" si="6"/>
        <v>0</v>
      </c>
      <c r="O10" s="28">
        <f t="shared" si="6"/>
        <v>0</v>
      </c>
      <c r="P10" s="28">
        <f t="shared" si="6"/>
        <v>0</v>
      </c>
      <c r="Q10" s="28">
        <f t="shared" si="6"/>
        <v>0</v>
      </c>
      <c r="R10" s="28">
        <f t="shared" si="7"/>
        <v>0</v>
      </c>
      <c r="S10" s="28"/>
      <c r="T10" s="28">
        <f t="shared" si="8"/>
        <v>68906.25</v>
      </c>
      <c r="U10" s="28">
        <f t="shared" si="8"/>
        <v>68906.25</v>
      </c>
      <c r="V10" s="28">
        <f t="shared" si="8"/>
        <v>68906.25</v>
      </c>
      <c r="W10" s="28">
        <f t="shared" si="8"/>
        <v>68906.25</v>
      </c>
      <c r="X10" s="28">
        <f t="shared" si="9"/>
        <v>275625</v>
      </c>
    </row>
    <row r="11" spans="1:24" x14ac:dyDescent="0.15">
      <c r="B11" s="25" t="s">
        <v>39</v>
      </c>
      <c r="C11" s="65" t="s">
        <v>41</v>
      </c>
      <c r="D11" s="26">
        <v>44197</v>
      </c>
      <c r="E11" s="27"/>
      <c r="F11" s="66">
        <v>250000</v>
      </c>
      <c r="G11" s="28"/>
      <c r="H11" s="28">
        <f t="shared" si="4"/>
        <v>0</v>
      </c>
      <c r="I11" s="28">
        <f t="shared" si="4"/>
        <v>0</v>
      </c>
      <c r="J11" s="28">
        <f t="shared" si="4"/>
        <v>0</v>
      </c>
      <c r="K11" s="28">
        <f t="shared" si="4"/>
        <v>0</v>
      </c>
      <c r="L11" s="28">
        <f t="shared" si="5"/>
        <v>0</v>
      </c>
      <c r="M11" s="28"/>
      <c r="N11" s="28">
        <f t="shared" si="6"/>
        <v>0</v>
      </c>
      <c r="O11" s="28">
        <f t="shared" si="6"/>
        <v>0</v>
      </c>
      <c r="P11" s="28">
        <f t="shared" si="6"/>
        <v>0</v>
      </c>
      <c r="Q11" s="28">
        <f t="shared" si="6"/>
        <v>0</v>
      </c>
      <c r="R11" s="28">
        <f t="shared" si="7"/>
        <v>0</v>
      </c>
      <c r="S11" s="28"/>
      <c r="T11" s="28">
        <f t="shared" si="8"/>
        <v>68906.25</v>
      </c>
      <c r="U11" s="28">
        <f t="shared" si="8"/>
        <v>68906.25</v>
      </c>
      <c r="V11" s="28">
        <f t="shared" si="8"/>
        <v>68906.25</v>
      </c>
      <c r="W11" s="28">
        <f t="shared" si="8"/>
        <v>68906.25</v>
      </c>
      <c r="X11" s="28">
        <f t="shared" si="9"/>
        <v>275625</v>
      </c>
    </row>
    <row r="12" spans="1:24" x14ac:dyDescent="0.15">
      <c r="B12" s="29" t="s">
        <v>49</v>
      </c>
      <c r="C12" s="29" t="s">
        <v>50</v>
      </c>
      <c r="D12" s="26">
        <v>43466</v>
      </c>
      <c r="E12" s="27"/>
      <c r="F12" s="66">
        <v>130000</v>
      </c>
      <c r="H12" s="28">
        <f t="shared" si="4"/>
        <v>32500</v>
      </c>
      <c r="I12" s="28">
        <f t="shared" si="4"/>
        <v>32500</v>
      </c>
      <c r="J12" s="28">
        <f t="shared" si="4"/>
        <v>32500</v>
      </c>
      <c r="K12" s="28">
        <f t="shared" si="4"/>
        <v>32500</v>
      </c>
      <c r="L12" s="28">
        <f t="shared" si="5"/>
        <v>130000</v>
      </c>
      <c r="N12" s="28">
        <f t="shared" si="6"/>
        <v>34125</v>
      </c>
      <c r="O12" s="28">
        <f t="shared" si="6"/>
        <v>34125</v>
      </c>
      <c r="P12" s="28">
        <f t="shared" si="6"/>
        <v>34125</v>
      </c>
      <c r="Q12" s="28">
        <f t="shared" si="6"/>
        <v>34125</v>
      </c>
      <c r="R12" s="28">
        <f t="shared" si="7"/>
        <v>136500</v>
      </c>
      <c r="T12" s="28">
        <f t="shared" si="8"/>
        <v>35831.25</v>
      </c>
      <c r="U12" s="28">
        <f t="shared" si="8"/>
        <v>35831.25</v>
      </c>
      <c r="V12" s="28">
        <f t="shared" si="8"/>
        <v>35831.25</v>
      </c>
      <c r="W12" s="28">
        <f t="shared" si="8"/>
        <v>35831.25</v>
      </c>
      <c r="X12" s="28">
        <f t="shared" si="9"/>
        <v>143325</v>
      </c>
    </row>
    <row r="13" spans="1:24" x14ac:dyDescent="0.15">
      <c r="B13" s="25" t="s">
        <v>47</v>
      </c>
      <c r="C13" s="65" t="s">
        <v>48</v>
      </c>
      <c r="D13" s="26">
        <v>43466</v>
      </c>
      <c r="E13" s="27"/>
      <c r="F13" s="66">
        <v>70000</v>
      </c>
      <c r="G13" s="28"/>
      <c r="H13" s="28">
        <f t="shared" si="4"/>
        <v>17500</v>
      </c>
      <c r="I13" s="28">
        <f t="shared" si="4"/>
        <v>17500</v>
      </c>
      <c r="J13" s="28">
        <f t="shared" si="4"/>
        <v>17500</v>
      </c>
      <c r="K13" s="28">
        <f t="shared" si="4"/>
        <v>17500</v>
      </c>
      <c r="L13" s="28">
        <f t="shared" si="5"/>
        <v>70000</v>
      </c>
      <c r="M13" s="28"/>
      <c r="N13" s="28">
        <f t="shared" si="6"/>
        <v>18375</v>
      </c>
      <c r="O13" s="28">
        <f t="shared" si="6"/>
        <v>18375</v>
      </c>
      <c r="P13" s="28">
        <f t="shared" si="6"/>
        <v>18375</v>
      </c>
      <c r="Q13" s="28">
        <f t="shared" si="6"/>
        <v>18375</v>
      </c>
      <c r="R13" s="28">
        <f t="shared" si="7"/>
        <v>73500</v>
      </c>
      <c r="S13" s="28"/>
      <c r="T13" s="28">
        <f t="shared" si="8"/>
        <v>19293.75</v>
      </c>
      <c r="U13" s="28">
        <f t="shared" si="8"/>
        <v>19293.75</v>
      </c>
      <c r="V13" s="28">
        <f t="shared" si="8"/>
        <v>19293.75</v>
      </c>
      <c r="W13" s="28">
        <f t="shared" si="8"/>
        <v>19293.75</v>
      </c>
      <c r="X13" s="28">
        <f t="shared" si="9"/>
        <v>77175</v>
      </c>
    </row>
    <row r="14" spans="1:24" x14ac:dyDescent="0.15">
      <c r="B14" s="25" t="s">
        <v>42</v>
      </c>
      <c r="C14" s="65" t="s">
        <v>43</v>
      </c>
      <c r="D14" s="26">
        <v>43466</v>
      </c>
      <c r="E14" s="27"/>
      <c r="F14" s="66">
        <v>100000</v>
      </c>
      <c r="G14" s="28"/>
      <c r="H14" s="28">
        <f t="shared" si="4"/>
        <v>25000</v>
      </c>
      <c r="I14" s="28">
        <f t="shared" si="4"/>
        <v>25000</v>
      </c>
      <c r="J14" s="28">
        <f t="shared" si="4"/>
        <v>25000</v>
      </c>
      <c r="K14" s="28">
        <f t="shared" si="4"/>
        <v>25000</v>
      </c>
      <c r="L14" s="28">
        <f t="shared" si="5"/>
        <v>100000</v>
      </c>
      <c r="M14" s="28"/>
      <c r="N14" s="28">
        <f t="shared" si="6"/>
        <v>26250</v>
      </c>
      <c r="O14" s="28">
        <f t="shared" si="6"/>
        <v>26250</v>
      </c>
      <c r="P14" s="28">
        <f t="shared" si="6"/>
        <v>26250</v>
      </c>
      <c r="Q14" s="28">
        <f t="shared" si="6"/>
        <v>26250</v>
      </c>
      <c r="R14" s="28">
        <f t="shared" si="7"/>
        <v>105000</v>
      </c>
      <c r="S14" s="28"/>
      <c r="T14" s="28">
        <f t="shared" si="8"/>
        <v>27562.5</v>
      </c>
      <c r="U14" s="28">
        <f t="shared" si="8"/>
        <v>27562.5</v>
      </c>
      <c r="V14" s="28">
        <f t="shared" si="8"/>
        <v>27562.5</v>
      </c>
      <c r="W14" s="28">
        <f t="shared" si="8"/>
        <v>27562.5</v>
      </c>
      <c r="X14" s="28">
        <f t="shared" si="9"/>
        <v>110250</v>
      </c>
    </row>
    <row r="15" spans="1:24" x14ac:dyDescent="0.15">
      <c r="B15" s="25" t="s">
        <v>44</v>
      </c>
      <c r="C15" s="65" t="s">
        <v>45</v>
      </c>
      <c r="D15" s="26">
        <v>43466</v>
      </c>
      <c r="E15" s="27"/>
      <c r="F15" s="66">
        <v>150000</v>
      </c>
      <c r="G15" s="28"/>
      <c r="H15" s="28">
        <f t="shared" si="4"/>
        <v>37500</v>
      </c>
      <c r="I15" s="28">
        <f t="shared" si="4"/>
        <v>37500</v>
      </c>
      <c r="J15" s="28">
        <f t="shared" si="4"/>
        <v>37500</v>
      </c>
      <c r="K15" s="28">
        <f t="shared" si="4"/>
        <v>37500</v>
      </c>
      <c r="L15" s="28">
        <f t="shared" si="5"/>
        <v>150000</v>
      </c>
      <c r="M15" s="28"/>
      <c r="N15" s="28">
        <f t="shared" si="6"/>
        <v>39375</v>
      </c>
      <c r="O15" s="28">
        <f t="shared" si="6"/>
        <v>39375</v>
      </c>
      <c r="P15" s="28">
        <f t="shared" si="6"/>
        <v>39375</v>
      </c>
      <c r="Q15" s="28">
        <f t="shared" si="6"/>
        <v>39375</v>
      </c>
      <c r="R15" s="28">
        <f t="shared" si="7"/>
        <v>157500</v>
      </c>
      <c r="S15" s="28"/>
      <c r="T15" s="28">
        <f t="shared" si="8"/>
        <v>41343.75</v>
      </c>
      <c r="U15" s="28">
        <f t="shared" si="8"/>
        <v>41343.75</v>
      </c>
      <c r="V15" s="28">
        <f t="shared" si="8"/>
        <v>41343.75</v>
      </c>
      <c r="W15" s="28">
        <f t="shared" si="8"/>
        <v>41343.75</v>
      </c>
      <c r="X15" s="28">
        <f t="shared" si="9"/>
        <v>165375</v>
      </c>
    </row>
    <row r="16" spans="1:24" x14ac:dyDescent="0.15">
      <c r="B16" s="25" t="s">
        <v>46</v>
      </c>
      <c r="C16" s="65" t="s">
        <v>45</v>
      </c>
      <c r="D16" s="26">
        <v>43466</v>
      </c>
      <c r="E16" s="27"/>
      <c r="F16" s="66">
        <v>160000</v>
      </c>
      <c r="G16" s="28"/>
      <c r="H16" s="28">
        <f t="shared" si="4"/>
        <v>40000</v>
      </c>
      <c r="I16" s="28">
        <f t="shared" si="4"/>
        <v>40000</v>
      </c>
      <c r="J16" s="28">
        <f t="shared" si="4"/>
        <v>40000</v>
      </c>
      <c r="K16" s="28">
        <f t="shared" si="4"/>
        <v>40000</v>
      </c>
      <c r="L16" s="28">
        <f t="shared" si="5"/>
        <v>160000</v>
      </c>
      <c r="M16" s="28"/>
      <c r="N16" s="28">
        <f t="shared" si="6"/>
        <v>42000</v>
      </c>
      <c r="O16" s="28">
        <f t="shared" si="6"/>
        <v>42000</v>
      </c>
      <c r="P16" s="28">
        <f t="shared" si="6"/>
        <v>42000</v>
      </c>
      <c r="Q16" s="28">
        <f t="shared" si="6"/>
        <v>42000</v>
      </c>
      <c r="R16" s="28">
        <f t="shared" si="7"/>
        <v>168000</v>
      </c>
      <c r="S16" s="28"/>
      <c r="T16" s="28">
        <f t="shared" si="8"/>
        <v>44100</v>
      </c>
      <c r="U16" s="28">
        <f t="shared" si="8"/>
        <v>44100</v>
      </c>
      <c r="V16" s="28">
        <f t="shared" si="8"/>
        <v>44100</v>
      </c>
      <c r="W16" s="28">
        <f t="shared" si="8"/>
        <v>44100</v>
      </c>
      <c r="X16" s="28">
        <f t="shared" si="9"/>
        <v>176400</v>
      </c>
    </row>
    <row r="17" spans="2:24" x14ac:dyDescent="0.15">
      <c r="B17" s="25" t="s">
        <v>46</v>
      </c>
      <c r="C17" s="65" t="s">
        <v>45</v>
      </c>
      <c r="D17" s="26">
        <v>43831</v>
      </c>
      <c r="E17" s="27"/>
      <c r="F17" s="66">
        <v>160000</v>
      </c>
      <c r="G17" s="28"/>
      <c r="H17" s="28">
        <f t="shared" si="4"/>
        <v>0</v>
      </c>
      <c r="I17" s="28">
        <f t="shared" si="4"/>
        <v>0</v>
      </c>
      <c r="J17" s="28">
        <f t="shared" si="4"/>
        <v>0</v>
      </c>
      <c r="K17" s="28">
        <f t="shared" si="4"/>
        <v>0</v>
      </c>
      <c r="L17" s="28">
        <f t="shared" si="5"/>
        <v>0</v>
      </c>
      <c r="M17" s="28"/>
      <c r="N17" s="28">
        <f t="shared" si="6"/>
        <v>42000</v>
      </c>
      <c r="O17" s="28">
        <f t="shared" si="6"/>
        <v>42000</v>
      </c>
      <c r="P17" s="28">
        <f t="shared" si="6"/>
        <v>42000</v>
      </c>
      <c r="Q17" s="28">
        <f t="shared" si="6"/>
        <v>42000</v>
      </c>
      <c r="R17" s="28">
        <f t="shared" si="7"/>
        <v>168000</v>
      </c>
      <c r="S17" s="28"/>
      <c r="T17" s="28">
        <f t="shared" si="8"/>
        <v>44100</v>
      </c>
      <c r="U17" s="28">
        <f t="shared" si="8"/>
        <v>44100</v>
      </c>
      <c r="V17" s="28">
        <f t="shared" si="8"/>
        <v>44100</v>
      </c>
      <c r="W17" s="28">
        <f t="shared" si="8"/>
        <v>44100</v>
      </c>
      <c r="X17" s="28">
        <f t="shared" si="9"/>
        <v>176400</v>
      </c>
    </row>
    <row r="18" spans="2:24" x14ac:dyDescent="0.15">
      <c r="B18" s="25" t="s">
        <v>46</v>
      </c>
      <c r="C18" s="65" t="s">
        <v>45</v>
      </c>
      <c r="D18" s="26">
        <v>44197</v>
      </c>
      <c r="E18" s="27"/>
      <c r="F18" s="66">
        <v>160000</v>
      </c>
      <c r="G18" s="28"/>
      <c r="H18" s="28">
        <f t="shared" si="4"/>
        <v>0</v>
      </c>
      <c r="I18" s="28">
        <f t="shared" si="4"/>
        <v>0</v>
      </c>
      <c r="J18" s="28">
        <f t="shared" si="4"/>
        <v>0</v>
      </c>
      <c r="K18" s="28">
        <f t="shared" si="4"/>
        <v>0</v>
      </c>
      <c r="L18" s="28">
        <f t="shared" si="5"/>
        <v>0</v>
      </c>
      <c r="M18" s="28"/>
      <c r="N18" s="28">
        <f t="shared" si="6"/>
        <v>0</v>
      </c>
      <c r="O18" s="28">
        <f t="shared" si="6"/>
        <v>0</v>
      </c>
      <c r="P18" s="28">
        <f t="shared" si="6"/>
        <v>0</v>
      </c>
      <c r="Q18" s="28">
        <f t="shared" si="6"/>
        <v>0</v>
      </c>
      <c r="R18" s="28">
        <f t="shared" si="7"/>
        <v>0</v>
      </c>
      <c r="S18" s="28"/>
      <c r="T18" s="28">
        <f t="shared" si="8"/>
        <v>44100</v>
      </c>
      <c r="U18" s="28">
        <f t="shared" si="8"/>
        <v>44100</v>
      </c>
      <c r="V18" s="28">
        <f t="shared" si="8"/>
        <v>44100</v>
      </c>
      <c r="W18" s="28">
        <f t="shared" si="8"/>
        <v>44100</v>
      </c>
      <c r="X18" s="28">
        <f t="shared" si="9"/>
        <v>176400</v>
      </c>
    </row>
    <row r="19" spans="2:24" x14ac:dyDescent="0.15">
      <c r="B19" s="29" t="s">
        <v>51</v>
      </c>
      <c r="C19" s="65" t="s">
        <v>45</v>
      </c>
      <c r="D19" s="26">
        <v>43466</v>
      </c>
      <c r="E19" s="27"/>
      <c r="F19" s="66">
        <v>120000</v>
      </c>
      <c r="H19" s="28">
        <f t="shared" si="4"/>
        <v>30000</v>
      </c>
      <c r="I19" s="28">
        <f t="shared" si="4"/>
        <v>30000</v>
      </c>
      <c r="J19" s="28">
        <f t="shared" si="4"/>
        <v>30000</v>
      </c>
      <c r="K19" s="28">
        <f t="shared" si="4"/>
        <v>30000</v>
      </c>
      <c r="L19" s="28">
        <f t="shared" si="5"/>
        <v>120000</v>
      </c>
      <c r="N19" s="28">
        <f t="shared" si="6"/>
        <v>31500</v>
      </c>
      <c r="O19" s="28">
        <f t="shared" si="6"/>
        <v>31500</v>
      </c>
      <c r="P19" s="28">
        <f t="shared" si="6"/>
        <v>31500</v>
      </c>
      <c r="Q19" s="28">
        <f t="shared" si="6"/>
        <v>31500</v>
      </c>
      <c r="R19" s="28">
        <f t="shared" si="7"/>
        <v>126000</v>
      </c>
      <c r="T19" s="28">
        <f t="shared" si="8"/>
        <v>33075</v>
      </c>
      <c r="U19" s="28">
        <f t="shared" si="8"/>
        <v>33075</v>
      </c>
      <c r="V19" s="28">
        <f t="shared" si="8"/>
        <v>33075</v>
      </c>
      <c r="W19" s="28">
        <f t="shared" si="8"/>
        <v>33075</v>
      </c>
      <c r="X19" s="28">
        <f t="shared" si="9"/>
        <v>132300</v>
      </c>
    </row>
    <row r="20" spans="2:24" x14ac:dyDescent="0.15">
      <c r="B20" s="29" t="s">
        <v>51</v>
      </c>
      <c r="C20" s="65" t="s">
        <v>45</v>
      </c>
      <c r="D20" s="26">
        <v>43466</v>
      </c>
      <c r="E20" s="27"/>
      <c r="F20" s="66">
        <v>120000</v>
      </c>
      <c r="H20" s="28">
        <f t="shared" si="4"/>
        <v>30000</v>
      </c>
      <c r="I20" s="28">
        <f t="shared" si="4"/>
        <v>30000</v>
      </c>
      <c r="J20" s="28">
        <f t="shared" si="4"/>
        <v>30000</v>
      </c>
      <c r="K20" s="28">
        <f t="shared" si="4"/>
        <v>30000</v>
      </c>
      <c r="L20" s="28">
        <f t="shared" si="5"/>
        <v>120000</v>
      </c>
      <c r="N20" s="28">
        <f t="shared" si="6"/>
        <v>31500</v>
      </c>
      <c r="O20" s="28">
        <f t="shared" si="6"/>
        <v>31500</v>
      </c>
      <c r="P20" s="28">
        <f t="shared" si="6"/>
        <v>31500</v>
      </c>
      <c r="Q20" s="28">
        <f t="shared" si="6"/>
        <v>31500</v>
      </c>
      <c r="R20" s="28">
        <f t="shared" si="7"/>
        <v>126000</v>
      </c>
      <c r="T20" s="28">
        <f t="shared" si="8"/>
        <v>33075</v>
      </c>
      <c r="U20" s="28">
        <f t="shared" si="8"/>
        <v>33075</v>
      </c>
      <c r="V20" s="28">
        <f t="shared" si="8"/>
        <v>33075</v>
      </c>
      <c r="W20" s="28">
        <f t="shared" si="8"/>
        <v>33075</v>
      </c>
      <c r="X20" s="28">
        <f t="shared" si="9"/>
        <v>132300</v>
      </c>
    </row>
    <row r="21" spans="2:24" x14ac:dyDescent="0.15">
      <c r="B21" s="29" t="s">
        <v>51</v>
      </c>
      <c r="C21" s="65" t="s">
        <v>45</v>
      </c>
      <c r="D21" s="26">
        <v>43647</v>
      </c>
      <c r="E21" s="27"/>
      <c r="F21" s="66">
        <v>120000</v>
      </c>
      <c r="H21" s="28">
        <f t="shared" si="4"/>
        <v>0</v>
      </c>
      <c r="I21" s="28">
        <f t="shared" si="4"/>
        <v>0</v>
      </c>
      <c r="J21" s="28">
        <f t="shared" si="4"/>
        <v>30000</v>
      </c>
      <c r="K21" s="28">
        <f t="shared" si="4"/>
        <v>30000</v>
      </c>
      <c r="L21" s="28">
        <f t="shared" si="5"/>
        <v>60000</v>
      </c>
      <c r="N21" s="28">
        <f t="shared" si="6"/>
        <v>31500</v>
      </c>
      <c r="O21" s="28">
        <f t="shared" si="6"/>
        <v>31500</v>
      </c>
      <c r="P21" s="28">
        <f t="shared" si="6"/>
        <v>31500</v>
      </c>
      <c r="Q21" s="28">
        <f t="shared" si="6"/>
        <v>31500</v>
      </c>
      <c r="R21" s="28">
        <f t="shared" si="7"/>
        <v>126000</v>
      </c>
      <c r="T21" s="28">
        <f t="shared" si="8"/>
        <v>33075</v>
      </c>
      <c r="U21" s="28">
        <f t="shared" si="8"/>
        <v>33075</v>
      </c>
      <c r="V21" s="28">
        <f t="shared" si="8"/>
        <v>33075</v>
      </c>
      <c r="W21" s="28">
        <f t="shared" si="8"/>
        <v>33075</v>
      </c>
      <c r="X21" s="28">
        <f t="shared" si="9"/>
        <v>132300</v>
      </c>
    </row>
    <row r="22" spans="2:24" x14ac:dyDescent="0.15">
      <c r="B22" s="29" t="s">
        <v>51</v>
      </c>
      <c r="C22" s="65" t="s">
        <v>45</v>
      </c>
      <c r="D22" s="26">
        <v>43739</v>
      </c>
      <c r="E22" s="27"/>
      <c r="F22" s="66">
        <v>120000</v>
      </c>
      <c r="H22" s="28">
        <f t="shared" si="4"/>
        <v>0</v>
      </c>
      <c r="I22" s="28">
        <f t="shared" si="4"/>
        <v>0</v>
      </c>
      <c r="J22" s="28">
        <f t="shared" si="4"/>
        <v>0</v>
      </c>
      <c r="K22" s="28">
        <f t="shared" si="4"/>
        <v>30000</v>
      </c>
      <c r="L22" s="28">
        <f t="shared" si="5"/>
        <v>30000</v>
      </c>
      <c r="N22" s="28">
        <f t="shared" si="6"/>
        <v>31500</v>
      </c>
      <c r="O22" s="28">
        <f t="shared" si="6"/>
        <v>31500</v>
      </c>
      <c r="P22" s="28">
        <f t="shared" si="6"/>
        <v>31500</v>
      </c>
      <c r="Q22" s="28">
        <f t="shared" si="6"/>
        <v>31500</v>
      </c>
      <c r="R22" s="28">
        <f t="shared" si="7"/>
        <v>126000</v>
      </c>
      <c r="T22" s="28">
        <f t="shared" si="8"/>
        <v>33075</v>
      </c>
      <c r="U22" s="28">
        <f t="shared" si="8"/>
        <v>33075</v>
      </c>
      <c r="V22" s="28">
        <f t="shared" si="8"/>
        <v>33075</v>
      </c>
      <c r="W22" s="28">
        <f t="shared" si="8"/>
        <v>33075</v>
      </c>
      <c r="X22" s="28">
        <f t="shared" si="9"/>
        <v>132300</v>
      </c>
    </row>
    <row r="23" spans="2:24" x14ac:dyDescent="0.15">
      <c r="B23" s="29" t="s">
        <v>51</v>
      </c>
      <c r="C23" s="65" t="s">
        <v>45</v>
      </c>
      <c r="D23" s="26">
        <v>43831</v>
      </c>
      <c r="E23" s="27"/>
      <c r="F23" s="66">
        <v>120000</v>
      </c>
      <c r="H23" s="28">
        <f t="shared" si="4"/>
        <v>0</v>
      </c>
      <c r="I23" s="28">
        <f t="shared" si="4"/>
        <v>0</v>
      </c>
      <c r="J23" s="28">
        <f t="shared" si="4"/>
        <v>0</v>
      </c>
      <c r="K23" s="28">
        <f t="shared" si="4"/>
        <v>0</v>
      </c>
      <c r="L23" s="28">
        <f t="shared" si="5"/>
        <v>0</v>
      </c>
      <c r="N23" s="28">
        <f t="shared" si="6"/>
        <v>31500</v>
      </c>
      <c r="O23" s="28">
        <f t="shared" si="6"/>
        <v>31500</v>
      </c>
      <c r="P23" s="28">
        <f t="shared" si="6"/>
        <v>31500</v>
      </c>
      <c r="Q23" s="28">
        <f t="shared" si="6"/>
        <v>31500</v>
      </c>
      <c r="R23" s="28">
        <f t="shared" si="7"/>
        <v>126000</v>
      </c>
      <c r="T23" s="28">
        <f t="shared" si="8"/>
        <v>33075</v>
      </c>
      <c r="U23" s="28">
        <f t="shared" si="8"/>
        <v>33075</v>
      </c>
      <c r="V23" s="28">
        <f t="shared" si="8"/>
        <v>33075</v>
      </c>
      <c r="W23" s="28">
        <f t="shared" si="8"/>
        <v>33075</v>
      </c>
      <c r="X23" s="28">
        <f t="shared" si="9"/>
        <v>132300</v>
      </c>
    </row>
    <row r="24" spans="2:24" x14ac:dyDescent="0.15">
      <c r="B24" s="29" t="s">
        <v>51</v>
      </c>
      <c r="C24" s="65" t="s">
        <v>45</v>
      </c>
      <c r="D24" s="26">
        <v>43983</v>
      </c>
      <c r="E24" s="27"/>
      <c r="F24" s="66">
        <v>120000</v>
      </c>
      <c r="H24" s="28">
        <f t="shared" ref="H24:K26" si="10">IF($D24&lt;=H$3,IF(ISBLANK($E24),$F24/4,IF($E24&gt;H$3,$F24/4,0)),0)</f>
        <v>0</v>
      </c>
      <c r="I24" s="28">
        <f t="shared" si="10"/>
        <v>0</v>
      </c>
      <c r="J24" s="28">
        <f t="shared" si="10"/>
        <v>0</v>
      </c>
      <c r="K24" s="28">
        <f t="shared" si="10"/>
        <v>0</v>
      </c>
      <c r="L24" s="28">
        <f t="shared" ref="L24:L25" si="11">SUM(H24:K24)</f>
        <v>0</v>
      </c>
      <c r="N24" s="28">
        <f t="shared" ref="N24:Q26" si="12">IF($D24&lt;=N$3,IF(ISBLANK($E24),$F24/4,IF($E24&gt;N$3,$F24/4,0)),0)*(1+$D$3)</f>
        <v>0</v>
      </c>
      <c r="O24" s="28">
        <f t="shared" si="12"/>
        <v>31500</v>
      </c>
      <c r="P24" s="28">
        <f t="shared" si="12"/>
        <v>31500</v>
      </c>
      <c r="Q24" s="28">
        <f t="shared" si="12"/>
        <v>31500</v>
      </c>
      <c r="R24" s="28">
        <f t="shared" ref="R24:R25" si="13">SUM(N24:Q24)</f>
        <v>94500</v>
      </c>
      <c r="T24" s="28">
        <f t="shared" ref="T24:W26" si="14">IF($D24&lt;=T$3,IF(ISBLANK($E24),$F24/4,IF($E24&gt;T$3,$F24/4,0)),0)*(1+$D$3)^2</f>
        <v>33075</v>
      </c>
      <c r="U24" s="28">
        <f t="shared" si="14"/>
        <v>33075</v>
      </c>
      <c r="V24" s="28">
        <f t="shared" si="14"/>
        <v>33075</v>
      </c>
      <c r="W24" s="28">
        <f t="shared" si="14"/>
        <v>33075</v>
      </c>
      <c r="X24" s="28">
        <f t="shared" ref="X24:X25" si="15">SUM(T24:W24)</f>
        <v>132300</v>
      </c>
    </row>
    <row r="25" spans="2:24" x14ac:dyDescent="0.15">
      <c r="B25" s="29" t="s">
        <v>51</v>
      </c>
      <c r="C25" s="65" t="s">
        <v>45</v>
      </c>
      <c r="D25" s="26">
        <v>44197</v>
      </c>
      <c r="E25" s="27"/>
      <c r="F25" s="66">
        <v>120000</v>
      </c>
      <c r="H25" s="28">
        <f t="shared" si="10"/>
        <v>0</v>
      </c>
      <c r="I25" s="28">
        <f t="shared" si="10"/>
        <v>0</v>
      </c>
      <c r="J25" s="28">
        <f t="shared" si="10"/>
        <v>0</v>
      </c>
      <c r="K25" s="28">
        <f t="shared" si="10"/>
        <v>0</v>
      </c>
      <c r="L25" s="28">
        <f t="shared" si="11"/>
        <v>0</v>
      </c>
      <c r="N25" s="28">
        <f t="shared" si="12"/>
        <v>0</v>
      </c>
      <c r="O25" s="28">
        <f t="shared" si="12"/>
        <v>0</v>
      </c>
      <c r="P25" s="28">
        <f t="shared" si="12"/>
        <v>0</v>
      </c>
      <c r="Q25" s="28">
        <f t="shared" si="12"/>
        <v>0</v>
      </c>
      <c r="R25" s="28">
        <f t="shared" si="13"/>
        <v>0</v>
      </c>
      <c r="T25" s="28">
        <f t="shared" si="14"/>
        <v>33075</v>
      </c>
      <c r="U25" s="28">
        <f t="shared" si="14"/>
        <v>33075</v>
      </c>
      <c r="V25" s="28">
        <f t="shared" si="14"/>
        <v>33075</v>
      </c>
      <c r="W25" s="28">
        <f t="shared" si="14"/>
        <v>33075</v>
      </c>
      <c r="X25" s="28">
        <f t="shared" si="15"/>
        <v>132300</v>
      </c>
    </row>
    <row r="26" spans="2:24" x14ac:dyDescent="0.15">
      <c r="B26" s="29" t="s">
        <v>51</v>
      </c>
      <c r="C26" s="65" t="s">
        <v>45</v>
      </c>
      <c r="D26" s="26">
        <v>44348</v>
      </c>
      <c r="E26" s="27"/>
      <c r="F26" s="66">
        <v>120000</v>
      </c>
      <c r="H26" s="28">
        <f t="shared" si="10"/>
        <v>0</v>
      </c>
      <c r="I26" s="28">
        <f t="shared" si="10"/>
        <v>0</v>
      </c>
      <c r="J26" s="28">
        <f t="shared" si="10"/>
        <v>0</v>
      </c>
      <c r="K26" s="28">
        <f t="shared" si="10"/>
        <v>0</v>
      </c>
      <c r="L26" s="28">
        <f t="shared" ref="L26" si="16">SUM(H26:K26)</f>
        <v>0</v>
      </c>
      <c r="N26" s="28">
        <f t="shared" si="12"/>
        <v>0</v>
      </c>
      <c r="O26" s="28">
        <f t="shared" si="12"/>
        <v>0</v>
      </c>
      <c r="P26" s="28">
        <f t="shared" si="12"/>
        <v>0</v>
      </c>
      <c r="Q26" s="28">
        <f t="shared" si="12"/>
        <v>0</v>
      </c>
      <c r="R26" s="28">
        <f t="shared" ref="R26" si="17">SUM(N26:Q26)</f>
        <v>0</v>
      </c>
      <c r="T26" s="28">
        <f t="shared" si="14"/>
        <v>0</v>
      </c>
      <c r="U26" s="28">
        <f t="shared" si="14"/>
        <v>33075</v>
      </c>
      <c r="V26" s="28">
        <f t="shared" si="14"/>
        <v>33075</v>
      </c>
      <c r="W26" s="28">
        <f t="shared" si="14"/>
        <v>33075</v>
      </c>
      <c r="X26" s="28">
        <f t="shared" ref="X26" si="18">SUM(T26:W26)</f>
        <v>99225</v>
      </c>
    </row>
    <row r="27" spans="2:24" x14ac:dyDescent="0.15">
      <c r="B27" s="29" t="s">
        <v>52</v>
      </c>
      <c r="C27" s="65" t="s">
        <v>45</v>
      </c>
      <c r="D27" s="27">
        <v>43647</v>
      </c>
      <c r="E27" s="27"/>
      <c r="F27" s="66">
        <v>80000</v>
      </c>
      <c r="H27" s="28">
        <f t="shared" ref="H27:K35" si="19">IF($D27&lt;=H$3,IF(ISBLANK($E27),$F27/4,IF($E27&gt;H$3,$F27/4,0)),0)</f>
        <v>0</v>
      </c>
      <c r="I27" s="28">
        <f t="shared" si="19"/>
        <v>0</v>
      </c>
      <c r="J27" s="28">
        <f t="shared" si="19"/>
        <v>20000</v>
      </c>
      <c r="K27" s="28">
        <f t="shared" si="19"/>
        <v>20000</v>
      </c>
      <c r="L27" s="28">
        <f>SUM(H27:K27)</f>
        <v>40000</v>
      </c>
      <c r="N27" s="28">
        <f t="shared" ref="N27:Q35" si="20">IF($D27&lt;=N$3,IF(ISBLANK($E27),$F27/4,IF($E27&gt;N$3,$F27/4,0)),0)*(1+$D$3)</f>
        <v>21000</v>
      </c>
      <c r="O27" s="28">
        <f t="shared" si="20"/>
        <v>21000</v>
      </c>
      <c r="P27" s="28">
        <f t="shared" si="20"/>
        <v>21000</v>
      </c>
      <c r="Q27" s="28">
        <f t="shared" si="20"/>
        <v>21000</v>
      </c>
      <c r="R27" s="28">
        <f t="shared" ref="R27:R46" si="21">SUM(N27:Q27)</f>
        <v>84000</v>
      </c>
      <c r="T27" s="28">
        <f t="shared" ref="T27:W35" si="22">IF($D27&lt;=T$3,IF(ISBLANK($E27),$F27/4,IF($E27&gt;T$3,$F27/4,0)),0)*(1+$D$3)^2</f>
        <v>22050</v>
      </c>
      <c r="U27" s="28">
        <f t="shared" si="22"/>
        <v>22050</v>
      </c>
      <c r="V27" s="28">
        <f t="shared" si="22"/>
        <v>22050</v>
      </c>
      <c r="W27" s="28">
        <f t="shared" si="22"/>
        <v>22050</v>
      </c>
      <c r="X27" s="28">
        <f t="shared" ref="X27:X46" si="23">SUM(T27:W27)</f>
        <v>88200</v>
      </c>
    </row>
    <row r="28" spans="2:24" x14ac:dyDescent="0.15">
      <c r="B28" s="29" t="s">
        <v>52</v>
      </c>
      <c r="C28" s="65" t="s">
        <v>45</v>
      </c>
      <c r="D28" s="27">
        <v>44013</v>
      </c>
      <c r="E28" s="27"/>
      <c r="F28" s="66">
        <v>80000</v>
      </c>
      <c r="H28" s="28">
        <f t="shared" si="19"/>
        <v>0</v>
      </c>
      <c r="I28" s="28">
        <f t="shared" si="19"/>
        <v>0</v>
      </c>
      <c r="J28" s="28">
        <f t="shared" si="19"/>
        <v>0</v>
      </c>
      <c r="K28" s="28">
        <f t="shared" si="19"/>
        <v>0</v>
      </c>
      <c r="L28" s="28">
        <f t="shared" ref="L28:L46" si="24">SUM(H28:K28)</f>
        <v>0</v>
      </c>
      <c r="N28" s="28">
        <f t="shared" si="20"/>
        <v>0</v>
      </c>
      <c r="O28" s="28">
        <f t="shared" si="20"/>
        <v>0</v>
      </c>
      <c r="P28" s="28">
        <f t="shared" si="20"/>
        <v>21000</v>
      </c>
      <c r="Q28" s="28">
        <f t="shared" si="20"/>
        <v>21000</v>
      </c>
      <c r="R28" s="28">
        <f t="shared" si="21"/>
        <v>42000</v>
      </c>
      <c r="T28" s="28">
        <f t="shared" si="22"/>
        <v>22050</v>
      </c>
      <c r="U28" s="28">
        <f t="shared" si="22"/>
        <v>22050</v>
      </c>
      <c r="V28" s="28">
        <f t="shared" si="22"/>
        <v>22050</v>
      </c>
      <c r="W28" s="28">
        <f t="shared" si="22"/>
        <v>22050</v>
      </c>
      <c r="X28" s="28">
        <f t="shared" si="23"/>
        <v>88200</v>
      </c>
    </row>
    <row r="29" spans="2:24" x14ac:dyDescent="0.15">
      <c r="B29" s="29" t="s">
        <v>52</v>
      </c>
      <c r="C29" s="65" t="s">
        <v>45</v>
      </c>
      <c r="D29" s="27">
        <v>44378</v>
      </c>
      <c r="E29" s="27"/>
      <c r="F29" s="66">
        <v>80000</v>
      </c>
      <c r="H29" s="28">
        <f t="shared" si="19"/>
        <v>0</v>
      </c>
      <c r="I29" s="28">
        <f t="shared" si="19"/>
        <v>0</v>
      </c>
      <c r="J29" s="28">
        <f t="shared" si="19"/>
        <v>0</v>
      </c>
      <c r="K29" s="28">
        <f t="shared" si="19"/>
        <v>0</v>
      </c>
      <c r="L29" s="28">
        <f t="shared" ref="L29" si="25">SUM(H29:K29)</f>
        <v>0</v>
      </c>
      <c r="N29" s="28">
        <f t="shared" si="20"/>
        <v>0</v>
      </c>
      <c r="O29" s="28">
        <f t="shared" si="20"/>
        <v>0</v>
      </c>
      <c r="P29" s="28">
        <f t="shared" si="20"/>
        <v>0</v>
      </c>
      <c r="Q29" s="28">
        <f t="shared" si="20"/>
        <v>0</v>
      </c>
      <c r="R29" s="28">
        <f t="shared" ref="R29" si="26">SUM(N29:Q29)</f>
        <v>0</v>
      </c>
      <c r="T29" s="28">
        <f t="shared" si="22"/>
        <v>0</v>
      </c>
      <c r="U29" s="28">
        <f t="shared" si="22"/>
        <v>0</v>
      </c>
      <c r="V29" s="28">
        <f t="shared" si="22"/>
        <v>22050</v>
      </c>
      <c r="W29" s="28">
        <f t="shared" si="22"/>
        <v>22050</v>
      </c>
      <c r="X29" s="28">
        <f t="shared" ref="X29" si="27">SUM(T29:W29)</f>
        <v>44100</v>
      </c>
    </row>
    <row r="30" spans="2:24" x14ac:dyDescent="0.15">
      <c r="B30" s="29" t="s">
        <v>53</v>
      </c>
      <c r="C30" s="65" t="s">
        <v>45</v>
      </c>
      <c r="D30" s="27">
        <v>43647</v>
      </c>
      <c r="E30" s="27"/>
      <c r="F30" s="66">
        <v>200000</v>
      </c>
      <c r="H30" s="28">
        <f t="shared" si="19"/>
        <v>0</v>
      </c>
      <c r="I30" s="28">
        <f t="shared" si="19"/>
        <v>0</v>
      </c>
      <c r="J30" s="28">
        <f t="shared" si="19"/>
        <v>50000</v>
      </c>
      <c r="K30" s="28">
        <f t="shared" si="19"/>
        <v>50000</v>
      </c>
      <c r="L30" s="28">
        <f t="shared" si="24"/>
        <v>100000</v>
      </c>
      <c r="N30" s="28">
        <f t="shared" si="20"/>
        <v>52500</v>
      </c>
      <c r="O30" s="28">
        <f t="shared" si="20"/>
        <v>52500</v>
      </c>
      <c r="P30" s="28">
        <f t="shared" si="20"/>
        <v>52500</v>
      </c>
      <c r="Q30" s="28">
        <f t="shared" si="20"/>
        <v>52500</v>
      </c>
      <c r="R30" s="28">
        <f t="shared" si="21"/>
        <v>210000</v>
      </c>
      <c r="T30" s="28">
        <f t="shared" si="22"/>
        <v>55125</v>
      </c>
      <c r="U30" s="28">
        <f t="shared" si="22"/>
        <v>55125</v>
      </c>
      <c r="V30" s="28">
        <f t="shared" si="22"/>
        <v>55125</v>
      </c>
      <c r="W30" s="28">
        <f t="shared" si="22"/>
        <v>55125</v>
      </c>
      <c r="X30" s="28">
        <f t="shared" si="23"/>
        <v>220500</v>
      </c>
    </row>
    <row r="31" spans="2:24" x14ac:dyDescent="0.15">
      <c r="B31" s="29" t="s">
        <v>54</v>
      </c>
      <c r="C31" s="65" t="s">
        <v>45</v>
      </c>
      <c r="D31" s="27">
        <v>43739</v>
      </c>
      <c r="E31" s="27"/>
      <c r="F31" s="66">
        <v>250000</v>
      </c>
      <c r="H31" s="28">
        <f t="shared" si="19"/>
        <v>0</v>
      </c>
      <c r="I31" s="28">
        <f t="shared" si="19"/>
        <v>0</v>
      </c>
      <c r="J31" s="28">
        <f t="shared" si="19"/>
        <v>0</v>
      </c>
      <c r="K31" s="28">
        <f t="shared" si="19"/>
        <v>62500</v>
      </c>
      <c r="L31" s="28">
        <f t="shared" si="24"/>
        <v>62500</v>
      </c>
      <c r="N31" s="28">
        <f t="shared" si="20"/>
        <v>65625</v>
      </c>
      <c r="O31" s="28">
        <f t="shared" si="20"/>
        <v>65625</v>
      </c>
      <c r="P31" s="28">
        <f t="shared" si="20"/>
        <v>65625</v>
      </c>
      <c r="Q31" s="28">
        <f t="shared" si="20"/>
        <v>65625</v>
      </c>
      <c r="R31" s="28">
        <f t="shared" si="21"/>
        <v>262500</v>
      </c>
      <c r="T31" s="28">
        <f t="shared" si="22"/>
        <v>68906.25</v>
      </c>
      <c r="U31" s="28">
        <f t="shared" si="22"/>
        <v>68906.25</v>
      </c>
      <c r="V31" s="28">
        <f t="shared" si="22"/>
        <v>68906.25</v>
      </c>
      <c r="W31" s="28">
        <f t="shared" si="22"/>
        <v>68906.25</v>
      </c>
      <c r="X31" s="28">
        <f t="shared" si="23"/>
        <v>275625</v>
      </c>
    </row>
    <row r="32" spans="2:24" x14ac:dyDescent="0.15">
      <c r="B32" s="29" t="s">
        <v>68</v>
      </c>
      <c r="C32" s="29" t="s">
        <v>50</v>
      </c>
      <c r="D32" s="27">
        <v>43647</v>
      </c>
      <c r="E32" s="27"/>
      <c r="F32" s="66">
        <v>250000</v>
      </c>
      <c r="H32" s="28">
        <f t="shared" si="19"/>
        <v>0</v>
      </c>
      <c r="I32" s="28">
        <f t="shared" si="19"/>
        <v>0</v>
      </c>
      <c r="J32" s="28">
        <f t="shared" si="19"/>
        <v>62500</v>
      </c>
      <c r="K32" s="28">
        <f t="shared" si="19"/>
        <v>62500</v>
      </c>
      <c r="L32" s="28">
        <f t="shared" si="24"/>
        <v>125000</v>
      </c>
      <c r="N32" s="28">
        <f t="shared" si="20"/>
        <v>65625</v>
      </c>
      <c r="O32" s="28">
        <f t="shared" si="20"/>
        <v>65625</v>
      </c>
      <c r="P32" s="28">
        <f t="shared" si="20"/>
        <v>65625</v>
      </c>
      <c r="Q32" s="28">
        <f t="shared" si="20"/>
        <v>65625</v>
      </c>
      <c r="R32" s="28">
        <f t="shared" si="21"/>
        <v>262500</v>
      </c>
      <c r="T32" s="28">
        <f t="shared" si="22"/>
        <v>68906.25</v>
      </c>
      <c r="U32" s="28">
        <f t="shared" si="22"/>
        <v>68906.25</v>
      </c>
      <c r="V32" s="28">
        <f t="shared" si="22"/>
        <v>68906.25</v>
      </c>
      <c r="W32" s="28">
        <f t="shared" si="22"/>
        <v>68906.25</v>
      </c>
      <c r="X32" s="28">
        <f t="shared" si="23"/>
        <v>275625</v>
      </c>
    </row>
    <row r="33" spans="2:24" x14ac:dyDescent="0.15">
      <c r="B33" s="29" t="s">
        <v>69</v>
      </c>
      <c r="C33" s="29" t="s">
        <v>50</v>
      </c>
      <c r="D33" s="27">
        <v>43647</v>
      </c>
      <c r="E33" s="27"/>
      <c r="F33" s="66">
        <v>175000</v>
      </c>
      <c r="H33" s="28">
        <f t="shared" si="19"/>
        <v>0</v>
      </c>
      <c r="I33" s="28">
        <f t="shared" si="19"/>
        <v>0</v>
      </c>
      <c r="J33" s="28">
        <f t="shared" si="19"/>
        <v>43750</v>
      </c>
      <c r="K33" s="28">
        <f t="shared" si="19"/>
        <v>43750</v>
      </c>
      <c r="L33" s="28">
        <f t="shared" si="24"/>
        <v>87500</v>
      </c>
      <c r="N33" s="28">
        <f t="shared" si="20"/>
        <v>45937.5</v>
      </c>
      <c r="O33" s="28">
        <f t="shared" si="20"/>
        <v>45937.5</v>
      </c>
      <c r="P33" s="28">
        <f t="shared" si="20"/>
        <v>45937.5</v>
      </c>
      <c r="Q33" s="28">
        <f t="shared" si="20"/>
        <v>45937.5</v>
      </c>
      <c r="R33" s="28">
        <f t="shared" si="21"/>
        <v>183750</v>
      </c>
      <c r="T33" s="28">
        <f t="shared" si="22"/>
        <v>48234.375</v>
      </c>
      <c r="U33" s="28">
        <f t="shared" si="22"/>
        <v>48234.375</v>
      </c>
      <c r="V33" s="28">
        <f t="shared" si="22"/>
        <v>48234.375</v>
      </c>
      <c r="W33" s="28">
        <f t="shared" si="22"/>
        <v>48234.375</v>
      </c>
      <c r="X33" s="28">
        <f t="shared" si="23"/>
        <v>192937.5</v>
      </c>
    </row>
    <row r="34" spans="2:24" x14ac:dyDescent="0.15">
      <c r="B34" s="29" t="s">
        <v>69</v>
      </c>
      <c r="C34" s="29" t="s">
        <v>50</v>
      </c>
      <c r="D34" s="27">
        <v>43739</v>
      </c>
      <c r="E34" s="27"/>
      <c r="F34" s="66">
        <v>175000</v>
      </c>
      <c r="H34" s="28">
        <f t="shared" si="19"/>
        <v>0</v>
      </c>
      <c r="I34" s="28">
        <f t="shared" si="19"/>
        <v>0</v>
      </c>
      <c r="J34" s="28">
        <f t="shared" si="19"/>
        <v>0</v>
      </c>
      <c r="K34" s="28">
        <f t="shared" si="19"/>
        <v>43750</v>
      </c>
      <c r="L34" s="28">
        <f t="shared" si="24"/>
        <v>43750</v>
      </c>
      <c r="N34" s="28">
        <f t="shared" si="20"/>
        <v>45937.5</v>
      </c>
      <c r="O34" s="28">
        <f t="shared" si="20"/>
        <v>45937.5</v>
      </c>
      <c r="P34" s="28">
        <f t="shared" si="20"/>
        <v>45937.5</v>
      </c>
      <c r="Q34" s="28">
        <f t="shared" si="20"/>
        <v>45937.5</v>
      </c>
      <c r="R34" s="28">
        <f t="shared" si="21"/>
        <v>183750</v>
      </c>
      <c r="T34" s="28">
        <f t="shared" si="22"/>
        <v>48234.375</v>
      </c>
      <c r="U34" s="28">
        <f t="shared" si="22"/>
        <v>48234.375</v>
      </c>
      <c r="V34" s="28">
        <f t="shared" si="22"/>
        <v>48234.375</v>
      </c>
      <c r="W34" s="28">
        <f t="shared" si="22"/>
        <v>48234.375</v>
      </c>
      <c r="X34" s="28">
        <f t="shared" si="23"/>
        <v>192937.5</v>
      </c>
    </row>
    <row r="35" spans="2:24" x14ac:dyDescent="0.15">
      <c r="B35" s="29" t="s">
        <v>69</v>
      </c>
      <c r="C35" s="29" t="s">
        <v>50</v>
      </c>
      <c r="D35" s="27">
        <v>43831</v>
      </c>
      <c r="E35" s="27"/>
      <c r="F35" s="66">
        <v>175000</v>
      </c>
      <c r="H35" s="28">
        <f t="shared" si="19"/>
        <v>0</v>
      </c>
      <c r="I35" s="28">
        <f t="shared" si="19"/>
        <v>0</v>
      </c>
      <c r="J35" s="28">
        <f t="shared" si="19"/>
        <v>0</v>
      </c>
      <c r="K35" s="28">
        <f t="shared" si="19"/>
        <v>0</v>
      </c>
      <c r="L35" s="28">
        <f t="shared" si="24"/>
        <v>0</v>
      </c>
      <c r="N35" s="28">
        <f t="shared" si="20"/>
        <v>45937.5</v>
      </c>
      <c r="O35" s="28">
        <f t="shared" si="20"/>
        <v>45937.5</v>
      </c>
      <c r="P35" s="28">
        <f t="shared" si="20"/>
        <v>45937.5</v>
      </c>
      <c r="Q35" s="28">
        <f t="shared" si="20"/>
        <v>45937.5</v>
      </c>
      <c r="R35" s="28">
        <f t="shared" si="21"/>
        <v>183750</v>
      </c>
      <c r="T35" s="28">
        <f t="shared" si="22"/>
        <v>48234.375</v>
      </c>
      <c r="U35" s="28">
        <f t="shared" si="22"/>
        <v>48234.375</v>
      </c>
      <c r="V35" s="28">
        <f t="shared" si="22"/>
        <v>48234.375</v>
      </c>
      <c r="W35" s="28">
        <f t="shared" si="22"/>
        <v>48234.375</v>
      </c>
      <c r="X35" s="28">
        <f t="shared" si="23"/>
        <v>192937.5</v>
      </c>
    </row>
    <row r="36" spans="2:24" x14ac:dyDescent="0.15">
      <c r="B36" s="29" t="s">
        <v>69</v>
      </c>
      <c r="C36" s="29" t="s">
        <v>50</v>
      </c>
      <c r="D36" s="27">
        <v>43983</v>
      </c>
      <c r="E36" s="27"/>
      <c r="F36" s="66">
        <v>175000</v>
      </c>
      <c r="H36" s="28">
        <f t="shared" ref="H36:K39" si="28">IF($D36&lt;=H$3,IF(ISBLANK($E36),$F36/4,IF($E36&gt;H$3,$F36/4,0)),0)</f>
        <v>0</v>
      </c>
      <c r="I36" s="28">
        <f t="shared" si="28"/>
        <v>0</v>
      </c>
      <c r="J36" s="28">
        <f t="shared" si="28"/>
        <v>0</v>
      </c>
      <c r="K36" s="28">
        <f t="shared" si="28"/>
        <v>0</v>
      </c>
      <c r="L36" s="28">
        <f t="shared" ref="L36:L37" si="29">SUM(H36:K36)</f>
        <v>0</v>
      </c>
      <c r="N36" s="28">
        <f t="shared" ref="N36:Q39" si="30">IF($D36&lt;=N$3,IF(ISBLANK($E36),$F36/4,IF($E36&gt;N$3,$F36/4,0)),0)*(1+$D$3)</f>
        <v>0</v>
      </c>
      <c r="O36" s="28">
        <f t="shared" si="30"/>
        <v>45937.5</v>
      </c>
      <c r="P36" s="28">
        <f t="shared" si="30"/>
        <v>45937.5</v>
      </c>
      <c r="Q36" s="28">
        <f t="shared" si="30"/>
        <v>45937.5</v>
      </c>
      <c r="R36" s="28">
        <f t="shared" ref="R36:R37" si="31">SUM(N36:Q36)</f>
        <v>137812.5</v>
      </c>
      <c r="T36" s="28">
        <f t="shared" ref="T36:W39" si="32">IF($D36&lt;=T$3,IF(ISBLANK($E36),$F36/4,IF($E36&gt;T$3,$F36/4,0)),0)*(1+$D$3)^2</f>
        <v>48234.375</v>
      </c>
      <c r="U36" s="28">
        <f t="shared" si="32"/>
        <v>48234.375</v>
      </c>
      <c r="V36" s="28">
        <f t="shared" si="32"/>
        <v>48234.375</v>
      </c>
      <c r="W36" s="28">
        <f t="shared" si="32"/>
        <v>48234.375</v>
      </c>
      <c r="X36" s="28">
        <f t="shared" ref="X36:X37" si="33">SUM(T36:W36)</f>
        <v>192937.5</v>
      </c>
    </row>
    <row r="37" spans="2:24" x14ac:dyDescent="0.15">
      <c r="B37" s="29" t="s">
        <v>69</v>
      </c>
      <c r="C37" s="29" t="s">
        <v>50</v>
      </c>
      <c r="D37" s="27">
        <v>44197</v>
      </c>
      <c r="E37" s="27"/>
      <c r="F37" s="66">
        <v>175000</v>
      </c>
      <c r="H37" s="28">
        <f t="shared" si="28"/>
        <v>0</v>
      </c>
      <c r="I37" s="28">
        <f t="shared" si="28"/>
        <v>0</v>
      </c>
      <c r="J37" s="28">
        <f t="shared" si="28"/>
        <v>0</v>
      </c>
      <c r="K37" s="28">
        <f t="shared" si="28"/>
        <v>0</v>
      </c>
      <c r="L37" s="28">
        <f t="shared" si="29"/>
        <v>0</v>
      </c>
      <c r="N37" s="28">
        <f t="shared" si="30"/>
        <v>0</v>
      </c>
      <c r="O37" s="28">
        <f t="shared" si="30"/>
        <v>0</v>
      </c>
      <c r="P37" s="28">
        <f t="shared" si="30"/>
        <v>0</v>
      </c>
      <c r="Q37" s="28">
        <f t="shared" si="30"/>
        <v>0</v>
      </c>
      <c r="R37" s="28">
        <f t="shared" si="31"/>
        <v>0</v>
      </c>
      <c r="T37" s="28">
        <f t="shared" si="32"/>
        <v>48234.375</v>
      </c>
      <c r="U37" s="28">
        <f t="shared" si="32"/>
        <v>48234.375</v>
      </c>
      <c r="V37" s="28">
        <f t="shared" si="32"/>
        <v>48234.375</v>
      </c>
      <c r="W37" s="28">
        <f t="shared" si="32"/>
        <v>48234.375</v>
      </c>
      <c r="X37" s="28">
        <f t="shared" si="33"/>
        <v>192937.5</v>
      </c>
    </row>
    <row r="38" spans="2:24" x14ac:dyDescent="0.15">
      <c r="B38" s="29" t="s">
        <v>69</v>
      </c>
      <c r="C38" s="29" t="s">
        <v>50</v>
      </c>
      <c r="D38" s="27">
        <v>44197</v>
      </c>
      <c r="E38" s="27"/>
      <c r="F38" s="66">
        <v>175000</v>
      </c>
      <c r="H38" s="28">
        <f t="shared" si="28"/>
        <v>0</v>
      </c>
      <c r="I38" s="28">
        <f t="shared" si="28"/>
        <v>0</v>
      </c>
      <c r="J38" s="28">
        <f t="shared" si="28"/>
        <v>0</v>
      </c>
      <c r="K38" s="28">
        <f t="shared" si="28"/>
        <v>0</v>
      </c>
      <c r="L38" s="28">
        <f t="shared" ref="L38:L39" si="34">SUM(H38:K38)</f>
        <v>0</v>
      </c>
      <c r="N38" s="28">
        <f t="shared" si="30"/>
        <v>0</v>
      </c>
      <c r="O38" s="28">
        <f t="shared" si="30"/>
        <v>0</v>
      </c>
      <c r="P38" s="28">
        <f t="shared" si="30"/>
        <v>0</v>
      </c>
      <c r="Q38" s="28">
        <f t="shared" si="30"/>
        <v>0</v>
      </c>
      <c r="R38" s="28">
        <f t="shared" ref="R38:R39" si="35">SUM(N38:Q38)</f>
        <v>0</v>
      </c>
      <c r="T38" s="28">
        <f t="shared" si="32"/>
        <v>48234.375</v>
      </c>
      <c r="U38" s="28">
        <f t="shared" si="32"/>
        <v>48234.375</v>
      </c>
      <c r="V38" s="28">
        <f t="shared" si="32"/>
        <v>48234.375</v>
      </c>
      <c r="W38" s="28">
        <f t="shared" si="32"/>
        <v>48234.375</v>
      </c>
      <c r="X38" s="28">
        <f t="shared" ref="X38:X39" si="36">SUM(T38:W38)</f>
        <v>192937.5</v>
      </c>
    </row>
    <row r="39" spans="2:24" x14ac:dyDescent="0.15">
      <c r="B39" s="29" t="s">
        <v>69</v>
      </c>
      <c r="C39" s="29" t="s">
        <v>50</v>
      </c>
      <c r="D39" s="27">
        <v>44197</v>
      </c>
      <c r="E39" s="27"/>
      <c r="F39" s="66">
        <v>175000</v>
      </c>
      <c r="H39" s="28">
        <f t="shared" si="28"/>
        <v>0</v>
      </c>
      <c r="I39" s="28">
        <f t="shared" si="28"/>
        <v>0</v>
      </c>
      <c r="J39" s="28">
        <f t="shared" si="28"/>
        <v>0</v>
      </c>
      <c r="K39" s="28">
        <f t="shared" si="28"/>
        <v>0</v>
      </c>
      <c r="L39" s="28">
        <f t="shared" si="34"/>
        <v>0</v>
      </c>
      <c r="N39" s="28">
        <f t="shared" si="30"/>
        <v>0</v>
      </c>
      <c r="O39" s="28">
        <f t="shared" si="30"/>
        <v>0</v>
      </c>
      <c r="P39" s="28">
        <f t="shared" si="30"/>
        <v>0</v>
      </c>
      <c r="Q39" s="28">
        <f t="shared" si="30"/>
        <v>0</v>
      </c>
      <c r="R39" s="28">
        <f t="shared" si="35"/>
        <v>0</v>
      </c>
      <c r="T39" s="28">
        <f t="shared" si="32"/>
        <v>48234.375</v>
      </c>
      <c r="U39" s="28">
        <f t="shared" si="32"/>
        <v>48234.375</v>
      </c>
      <c r="V39" s="28">
        <f t="shared" si="32"/>
        <v>48234.375</v>
      </c>
      <c r="W39" s="28">
        <f t="shared" si="32"/>
        <v>48234.375</v>
      </c>
      <c r="X39" s="28">
        <f t="shared" si="36"/>
        <v>192937.5</v>
      </c>
    </row>
    <row r="40" spans="2:24" x14ac:dyDescent="0.15">
      <c r="B40" s="29" t="s">
        <v>55</v>
      </c>
      <c r="C40" s="29" t="s">
        <v>50</v>
      </c>
      <c r="D40" s="27">
        <v>43647</v>
      </c>
      <c r="E40" s="27"/>
      <c r="F40" s="66">
        <v>130000</v>
      </c>
      <c r="H40" s="28">
        <f t="shared" ref="H40:K46" si="37">IF($D40&lt;=H$3,IF(ISBLANK($E40),$F40/4,IF($E40&gt;H$3,$F40/4,0)),0)</f>
        <v>0</v>
      </c>
      <c r="I40" s="28">
        <f t="shared" si="37"/>
        <v>0</v>
      </c>
      <c r="J40" s="28">
        <f t="shared" si="37"/>
        <v>32500</v>
      </c>
      <c r="K40" s="28">
        <f t="shared" si="37"/>
        <v>32500</v>
      </c>
      <c r="L40" s="28">
        <f t="shared" si="24"/>
        <v>65000</v>
      </c>
      <c r="N40" s="28">
        <f t="shared" ref="N40:Q46" si="38">IF($D40&lt;=N$3,IF(ISBLANK($E40),$F40/4,IF($E40&gt;N$3,$F40/4,0)),0)*(1+$D$3)</f>
        <v>34125</v>
      </c>
      <c r="O40" s="28">
        <f t="shared" si="38"/>
        <v>34125</v>
      </c>
      <c r="P40" s="28">
        <f t="shared" si="38"/>
        <v>34125</v>
      </c>
      <c r="Q40" s="28">
        <f t="shared" si="38"/>
        <v>34125</v>
      </c>
      <c r="R40" s="28">
        <f t="shared" si="21"/>
        <v>136500</v>
      </c>
      <c r="T40" s="28">
        <f t="shared" ref="T40:W46" si="39">IF($D40&lt;=T$3,IF(ISBLANK($E40),$F40/4,IF($E40&gt;T$3,$F40/4,0)),0)*(1+$D$3)^2</f>
        <v>35831.25</v>
      </c>
      <c r="U40" s="28">
        <f t="shared" si="39"/>
        <v>35831.25</v>
      </c>
      <c r="V40" s="28">
        <f t="shared" si="39"/>
        <v>35831.25</v>
      </c>
      <c r="W40" s="28">
        <f t="shared" si="39"/>
        <v>35831.25</v>
      </c>
      <c r="X40" s="28">
        <f t="shared" si="23"/>
        <v>143325</v>
      </c>
    </row>
    <row r="41" spans="2:24" x14ac:dyDescent="0.15">
      <c r="B41" s="29" t="s">
        <v>71</v>
      </c>
      <c r="C41" s="29" t="s">
        <v>50</v>
      </c>
      <c r="D41" s="27">
        <v>43647</v>
      </c>
      <c r="E41" s="27"/>
      <c r="F41" s="66">
        <v>80000</v>
      </c>
      <c r="H41" s="28">
        <f t="shared" si="37"/>
        <v>0</v>
      </c>
      <c r="I41" s="28">
        <f t="shared" si="37"/>
        <v>0</v>
      </c>
      <c r="J41" s="28">
        <f t="shared" si="37"/>
        <v>20000</v>
      </c>
      <c r="K41" s="28">
        <f t="shared" si="37"/>
        <v>20000</v>
      </c>
      <c r="L41" s="28">
        <f t="shared" si="24"/>
        <v>40000</v>
      </c>
      <c r="N41" s="28">
        <f t="shared" si="38"/>
        <v>21000</v>
      </c>
      <c r="O41" s="28">
        <f t="shared" si="38"/>
        <v>21000</v>
      </c>
      <c r="P41" s="28">
        <f t="shared" si="38"/>
        <v>21000</v>
      </c>
      <c r="Q41" s="28">
        <f t="shared" si="38"/>
        <v>21000</v>
      </c>
      <c r="R41" s="28">
        <f t="shared" si="21"/>
        <v>84000</v>
      </c>
      <c r="T41" s="28">
        <f t="shared" si="39"/>
        <v>22050</v>
      </c>
      <c r="U41" s="28">
        <f t="shared" si="39"/>
        <v>22050</v>
      </c>
      <c r="V41" s="28">
        <f t="shared" si="39"/>
        <v>22050</v>
      </c>
      <c r="W41" s="28">
        <f t="shared" si="39"/>
        <v>22050</v>
      </c>
      <c r="X41" s="28">
        <f t="shared" si="23"/>
        <v>88200</v>
      </c>
    </row>
    <row r="42" spans="2:24" x14ac:dyDescent="0.15">
      <c r="B42" s="29" t="s">
        <v>71</v>
      </c>
      <c r="C42" s="29" t="s">
        <v>50</v>
      </c>
      <c r="D42" s="27">
        <v>44013</v>
      </c>
      <c r="E42" s="27"/>
      <c r="F42" s="66">
        <v>80000</v>
      </c>
      <c r="H42" s="28">
        <f t="shared" si="37"/>
        <v>0</v>
      </c>
      <c r="I42" s="28">
        <f t="shared" si="37"/>
        <v>0</v>
      </c>
      <c r="J42" s="28">
        <f t="shared" si="37"/>
        <v>0</v>
      </c>
      <c r="K42" s="28">
        <f t="shared" si="37"/>
        <v>0</v>
      </c>
      <c r="L42" s="28">
        <f t="shared" ref="L42" si="40">SUM(H42:K42)</f>
        <v>0</v>
      </c>
      <c r="N42" s="28">
        <f t="shared" si="38"/>
        <v>0</v>
      </c>
      <c r="O42" s="28">
        <f t="shared" si="38"/>
        <v>0</v>
      </c>
      <c r="P42" s="28">
        <f t="shared" si="38"/>
        <v>21000</v>
      </c>
      <c r="Q42" s="28">
        <f t="shared" si="38"/>
        <v>21000</v>
      </c>
      <c r="R42" s="28">
        <f t="shared" ref="R42" si="41">SUM(N42:Q42)</f>
        <v>42000</v>
      </c>
      <c r="T42" s="28">
        <f t="shared" si="39"/>
        <v>22050</v>
      </c>
      <c r="U42" s="28">
        <f t="shared" si="39"/>
        <v>22050</v>
      </c>
      <c r="V42" s="28">
        <f t="shared" si="39"/>
        <v>22050</v>
      </c>
      <c r="W42" s="28">
        <f t="shared" si="39"/>
        <v>22050</v>
      </c>
      <c r="X42" s="28">
        <f t="shared" ref="X42" si="42">SUM(T42:W42)</f>
        <v>88200</v>
      </c>
    </row>
    <row r="43" spans="2:24" x14ac:dyDescent="0.15">
      <c r="B43" s="29" t="s">
        <v>56</v>
      </c>
      <c r="C43" s="29" t="s">
        <v>50</v>
      </c>
      <c r="D43" s="27">
        <v>43831</v>
      </c>
      <c r="E43" s="27"/>
      <c r="F43" s="66">
        <v>150000</v>
      </c>
      <c r="H43" s="28">
        <f t="shared" si="37"/>
        <v>0</v>
      </c>
      <c r="I43" s="28">
        <f t="shared" si="37"/>
        <v>0</v>
      </c>
      <c r="J43" s="28">
        <f t="shared" si="37"/>
        <v>0</v>
      </c>
      <c r="K43" s="28">
        <f t="shared" si="37"/>
        <v>0</v>
      </c>
      <c r="L43" s="28">
        <f t="shared" si="24"/>
        <v>0</v>
      </c>
      <c r="N43" s="28">
        <f t="shared" si="38"/>
        <v>39375</v>
      </c>
      <c r="O43" s="28">
        <f t="shared" si="38"/>
        <v>39375</v>
      </c>
      <c r="P43" s="28">
        <f t="shared" si="38"/>
        <v>39375</v>
      </c>
      <c r="Q43" s="28">
        <f t="shared" si="38"/>
        <v>39375</v>
      </c>
      <c r="R43" s="28">
        <f t="shared" si="21"/>
        <v>157500</v>
      </c>
      <c r="T43" s="28">
        <f t="shared" si="39"/>
        <v>41343.75</v>
      </c>
      <c r="U43" s="28">
        <f t="shared" si="39"/>
        <v>41343.75</v>
      </c>
      <c r="V43" s="28">
        <f t="shared" si="39"/>
        <v>41343.75</v>
      </c>
      <c r="W43" s="28">
        <f t="shared" si="39"/>
        <v>41343.75</v>
      </c>
      <c r="X43" s="28">
        <f t="shared" si="23"/>
        <v>165375</v>
      </c>
    </row>
    <row r="44" spans="2:24" x14ac:dyDescent="0.15">
      <c r="B44" s="29" t="s">
        <v>56</v>
      </c>
      <c r="C44" s="29" t="s">
        <v>50</v>
      </c>
      <c r="D44" s="27">
        <v>44197</v>
      </c>
      <c r="E44" s="27"/>
      <c r="F44" s="66">
        <v>150000</v>
      </c>
      <c r="H44" s="28">
        <f t="shared" si="37"/>
        <v>0</v>
      </c>
      <c r="I44" s="28">
        <f t="shared" si="37"/>
        <v>0</v>
      </c>
      <c r="J44" s="28">
        <f t="shared" si="37"/>
        <v>0</v>
      </c>
      <c r="K44" s="28">
        <f t="shared" si="37"/>
        <v>0</v>
      </c>
      <c r="L44" s="28">
        <f t="shared" ref="L44" si="43">SUM(H44:K44)</f>
        <v>0</v>
      </c>
      <c r="N44" s="28">
        <f t="shared" si="38"/>
        <v>0</v>
      </c>
      <c r="O44" s="28">
        <f t="shared" si="38"/>
        <v>0</v>
      </c>
      <c r="P44" s="28">
        <f t="shared" si="38"/>
        <v>0</v>
      </c>
      <c r="Q44" s="28">
        <f t="shared" si="38"/>
        <v>0</v>
      </c>
      <c r="R44" s="28">
        <f t="shared" ref="R44" si="44">SUM(N44:Q44)</f>
        <v>0</v>
      </c>
      <c r="T44" s="28">
        <f t="shared" si="39"/>
        <v>41343.75</v>
      </c>
      <c r="U44" s="28">
        <f t="shared" si="39"/>
        <v>41343.75</v>
      </c>
      <c r="V44" s="28">
        <f t="shared" si="39"/>
        <v>41343.75</v>
      </c>
      <c r="W44" s="28">
        <f t="shared" si="39"/>
        <v>41343.75</v>
      </c>
      <c r="X44" s="28">
        <f t="shared" ref="X44" si="45">SUM(T44:W44)</f>
        <v>165375</v>
      </c>
    </row>
    <row r="45" spans="2:24" x14ac:dyDescent="0.15">
      <c r="B45" s="29" t="s">
        <v>57</v>
      </c>
      <c r="C45" s="65" t="s">
        <v>48</v>
      </c>
      <c r="D45" s="27">
        <v>43739</v>
      </c>
      <c r="E45" s="27"/>
      <c r="F45" s="66">
        <v>150000</v>
      </c>
      <c r="H45" s="28">
        <f t="shared" si="37"/>
        <v>0</v>
      </c>
      <c r="I45" s="28">
        <f t="shared" si="37"/>
        <v>0</v>
      </c>
      <c r="J45" s="28">
        <f t="shared" si="37"/>
        <v>0</v>
      </c>
      <c r="K45" s="28">
        <f t="shared" si="37"/>
        <v>37500</v>
      </c>
      <c r="L45" s="28">
        <f t="shared" si="24"/>
        <v>37500</v>
      </c>
      <c r="N45" s="28">
        <f t="shared" si="38"/>
        <v>39375</v>
      </c>
      <c r="O45" s="28">
        <f t="shared" si="38"/>
        <v>39375</v>
      </c>
      <c r="P45" s="28">
        <f t="shared" si="38"/>
        <v>39375</v>
      </c>
      <c r="Q45" s="28">
        <f t="shared" si="38"/>
        <v>39375</v>
      </c>
      <c r="R45" s="28">
        <f t="shared" si="21"/>
        <v>157500</v>
      </c>
      <c r="T45" s="28">
        <f t="shared" si="39"/>
        <v>41343.75</v>
      </c>
      <c r="U45" s="28">
        <f t="shared" si="39"/>
        <v>41343.75</v>
      </c>
      <c r="V45" s="28">
        <f t="shared" si="39"/>
        <v>41343.75</v>
      </c>
      <c r="W45" s="28">
        <f t="shared" si="39"/>
        <v>41343.75</v>
      </c>
      <c r="X45" s="28">
        <f t="shared" si="23"/>
        <v>165375</v>
      </c>
    </row>
    <row r="46" spans="2:24" x14ac:dyDescent="0.15">
      <c r="B46" s="29" t="s">
        <v>70</v>
      </c>
      <c r="C46" s="65" t="s">
        <v>58</v>
      </c>
      <c r="D46" s="27">
        <v>43647</v>
      </c>
      <c r="E46" s="27"/>
      <c r="F46" s="66">
        <v>100000</v>
      </c>
      <c r="H46" s="28">
        <f t="shared" si="37"/>
        <v>0</v>
      </c>
      <c r="I46" s="28">
        <f t="shared" si="37"/>
        <v>0</v>
      </c>
      <c r="J46" s="28">
        <f t="shared" si="37"/>
        <v>25000</v>
      </c>
      <c r="K46" s="28">
        <f t="shared" si="37"/>
        <v>25000</v>
      </c>
      <c r="L46" s="28">
        <f t="shared" si="24"/>
        <v>50000</v>
      </c>
      <c r="N46" s="28">
        <f t="shared" si="38"/>
        <v>26250</v>
      </c>
      <c r="O46" s="28">
        <f t="shared" si="38"/>
        <v>26250</v>
      </c>
      <c r="P46" s="28">
        <f t="shared" si="38"/>
        <v>26250</v>
      </c>
      <c r="Q46" s="28">
        <f t="shared" si="38"/>
        <v>26250</v>
      </c>
      <c r="R46" s="28">
        <f t="shared" si="21"/>
        <v>105000</v>
      </c>
      <c r="T46" s="28">
        <f t="shared" si="39"/>
        <v>27562.5</v>
      </c>
      <c r="U46" s="28">
        <f t="shared" si="39"/>
        <v>27562.5</v>
      </c>
      <c r="V46" s="28">
        <f t="shared" si="39"/>
        <v>27562.5</v>
      </c>
      <c r="W46" s="28">
        <f t="shared" si="39"/>
        <v>27562.5</v>
      </c>
      <c r="X46" s="28">
        <f t="shared" si="23"/>
        <v>110250</v>
      </c>
    </row>
    <row r="47" spans="2:24" x14ac:dyDescent="0.15">
      <c r="B47" s="30" t="s">
        <v>72</v>
      </c>
      <c r="C47" s="31"/>
      <c r="D47" s="32"/>
      <c r="E47" s="32"/>
      <c r="F47" s="33"/>
      <c r="H47" s="34">
        <f>SUM(H7:H46)</f>
        <v>280000</v>
      </c>
      <c r="I47" s="34">
        <f>SUM(I7:I46)</f>
        <v>280000</v>
      </c>
      <c r="J47" s="34">
        <f>SUM(J7:J46)</f>
        <v>563750</v>
      </c>
      <c r="K47" s="34">
        <f>SUM(K7:K46)</f>
        <v>737500</v>
      </c>
      <c r="L47" s="34">
        <f>SUM(H47:K47)</f>
        <v>1861250</v>
      </c>
      <c r="N47" s="34">
        <f>SUM(N7:N46)</f>
        <v>933187.5</v>
      </c>
      <c r="O47" s="34">
        <f>SUM(O7:O46)</f>
        <v>1010625</v>
      </c>
      <c r="P47" s="34">
        <f>SUM(P7:P46)</f>
        <v>1052625</v>
      </c>
      <c r="Q47" s="34">
        <f>SUM(Q7:Q46)</f>
        <v>1052625</v>
      </c>
      <c r="R47" s="34">
        <f>SUM(N47:Q47)</f>
        <v>4049062.5</v>
      </c>
      <c r="T47" s="34">
        <f>SUM(T7:T46)</f>
        <v>1506290.625</v>
      </c>
      <c r="U47" s="34">
        <f>SUM(U7:U46)</f>
        <v>1539365.625</v>
      </c>
      <c r="V47" s="34">
        <f>SUM(V7:V46)</f>
        <v>1561415.625</v>
      </c>
      <c r="W47" s="34">
        <f>SUM(W7:W46)</f>
        <v>1561415.625</v>
      </c>
      <c r="X47" s="34">
        <f>SUM(T47:W47)</f>
        <v>6168487.5</v>
      </c>
    </row>
    <row r="48" spans="2:24" x14ac:dyDescent="0.15">
      <c r="B48" s="35"/>
      <c r="C48" s="35"/>
      <c r="D48" s="36"/>
      <c r="E48" s="36"/>
      <c r="F48" s="37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</row>
    <row r="49" spans="2:24" x14ac:dyDescent="0.15">
      <c r="B49" s="35"/>
      <c r="C49" s="35"/>
      <c r="D49" s="36"/>
      <c r="E49" s="36"/>
      <c r="F49" s="3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spans="2:24" s="35" customFormat="1" x14ac:dyDescent="0.15">
      <c r="B50" s="35" t="s">
        <v>59</v>
      </c>
      <c r="D50" s="39"/>
      <c r="E50" s="39"/>
      <c r="F50" s="37"/>
      <c r="G50" s="38"/>
      <c r="H50" s="38">
        <f>COUNTIF(H7:H46,"&gt;0")</f>
        <v>10</v>
      </c>
      <c r="I50" s="38">
        <f>COUNTIF(I7:I46,"&gt;0")</f>
        <v>10</v>
      </c>
      <c r="J50" s="38">
        <f>COUNTIF(J7:J46,"&gt;0")</f>
        <v>18</v>
      </c>
      <c r="K50" s="38">
        <f>COUNTIF(K7:K46,"&gt;0")</f>
        <v>22</v>
      </c>
      <c r="L50" s="38">
        <f>K50</f>
        <v>22</v>
      </c>
      <c r="M50" s="38"/>
      <c r="N50" s="38">
        <f>COUNTIF(N7:N46,"&gt;0")</f>
        <v>26</v>
      </c>
      <c r="O50" s="38">
        <f>COUNTIF(O7:O46,"&gt;0")</f>
        <v>28</v>
      </c>
      <c r="P50" s="38">
        <f>COUNTIF(P7:P46,"&gt;0")</f>
        <v>30</v>
      </c>
      <c r="Q50" s="38">
        <f>COUNTIF(Q7:Q46,"&gt;0")</f>
        <v>30</v>
      </c>
      <c r="R50" s="38">
        <f>Q50</f>
        <v>30</v>
      </c>
      <c r="S50" s="38"/>
      <c r="T50" s="38">
        <f>COUNTIF(T7:T46,"&gt;0")</f>
        <v>38</v>
      </c>
      <c r="U50" s="38">
        <f>COUNTIF(U7:U46,"&gt;0")</f>
        <v>39</v>
      </c>
      <c r="V50" s="38">
        <f>COUNTIF(V7:V46,"&gt;0")</f>
        <v>40</v>
      </c>
      <c r="W50" s="38">
        <f>COUNTIF(W7:W46,"&gt;0")</f>
        <v>40</v>
      </c>
      <c r="X50" s="38">
        <f>W50</f>
        <v>40</v>
      </c>
    </row>
    <row r="51" spans="2:24" s="35" customFormat="1" x14ac:dyDescent="0.15">
      <c r="D51" s="39"/>
      <c r="E51" s="39"/>
      <c r="F51" s="37"/>
      <c r="H51" s="38"/>
      <c r="I51" s="38"/>
      <c r="J51" s="38"/>
      <c r="K51" s="38"/>
      <c r="N51" s="38"/>
      <c r="O51" s="38"/>
      <c r="P51" s="38"/>
      <c r="Q51" s="38"/>
      <c r="T51" s="38"/>
      <c r="U51" s="38"/>
      <c r="V51" s="38"/>
      <c r="W51" s="38"/>
    </row>
    <row r="57" spans="2:24" x14ac:dyDescent="0.15">
      <c r="B57" s="40" t="s">
        <v>60</v>
      </c>
    </row>
    <row r="58" spans="2:24" x14ac:dyDescent="0.15">
      <c r="B58" s="65" t="s">
        <v>41</v>
      </c>
      <c r="G58" s="28"/>
      <c r="H58" s="28">
        <f t="shared" ref="H58:K63" si="46">SUMIFS(H$6:H$49,$C$6:$C$49,"="&amp;$B58)</f>
        <v>67500</v>
      </c>
      <c r="I58" s="28">
        <f t="shared" si="46"/>
        <v>67500</v>
      </c>
      <c r="J58" s="28">
        <f t="shared" si="46"/>
        <v>67500</v>
      </c>
      <c r="K58" s="28">
        <f t="shared" si="46"/>
        <v>67500</v>
      </c>
      <c r="L58" s="28">
        <f t="shared" ref="L58:L64" si="47">SUM(H58:K58)</f>
        <v>270000</v>
      </c>
      <c r="M58" s="28"/>
      <c r="N58" s="28">
        <f t="shared" ref="N58:Q63" si="48">SUMIFS(N$6:N$49,$C$6:$C$49,"="&amp;$B58)</f>
        <v>70875</v>
      </c>
      <c r="O58" s="28">
        <f t="shared" si="48"/>
        <v>70875</v>
      </c>
      <c r="P58" s="28">
        <f t="shared" si="48"/>
        <v>70875</v>
      </c>
      <c r="Q58" s="28">
        <f t="shared" si="48"/>
        <v>70875</v>
      </c>
      <c r="R58" s="28">
        <f t="shared" ref="R58:R64" si="49">SUM(N58:Q58)</f>
        <v>283500</v>
      </c>
      <c r="S58" s="28"/>
      <c r="T58" s="28">
        <f t="shared" ref="T58:W63" si="50">SUMIFS(T$6:T$49,$C$6:$C$49,"="&amp;$B58)</f>
        <v>212231.25</v>
      </c>
      <c r="U58" s="28">
        <f t="shared" si="50"/>
        <v>212231.25</v>
      </c>
      <c r="V58" s="28">
        <f t="shared" si="50"/>
        <v>212231.25</v>
      </c>
      <c r="W58" s="28">
        <f t="shared" si="50"/>
        <v>212231.25</v>
      </c>
      <c r="X58" s="28">
        <f t="shared" ref="X58:X64" si="51">SUM(T58:W58)</f>
        <v>848925</v>
      </c>
    </row>
    <row r="59" spans="2:24" x14ac:dyDescent="0.15">
      <c r="B59" s="65" t="s">
        <v>43</v>
      </c>
      <c r="G59" s="28"/>
      <c r="H59" s="28">
        <f t="shared" si="46"/>
        <v>25000</v>
      </c>
      <c r="I59" s="28">
        <f t="shared" si="46"/>
        <v>25000</v>
      </c>
      <c r="J59" s="28">
        <f t="shared" si="46"/>
        <v>25000</v>
      </c>
      <c r="K59" s="28">
        <f t="shared" si="46"/>
        <v>25000</v>
      </c>
      <c r="L59" s="28">
        <f t="shared" si="47"/>
        <v>100000</v>
      </c>
      <c r="M59" s="28"/>
      <c r="N59" s="28">
        <f t="shared" si="48"/>
        <v>26250</v>
      </c>
      <c r="O59" s="28">
        <f t="shared" si="48"/>
        <v>26250</v>
      </c>
      <c r="P59" s="28">
        <f t="shared" si="48"/>
        <v>26250</v>
      </c>
      <c r="Q59" s="28">
        <f t="shared" si="48"/>
        <v>26250</v>
      </c>
      <c r="R59" s="28">
        <f t="shared" si="49"/>
        <v>105000</v>
      </c>
      <c r="S59" s="28"/>
      <c r="T59" s="28">
        <f t="shared" si="50"/>
        <v>27562.5</v>
      </c>
      <c r="U59" s="28">
        <f t="shared" si="50"/>
        <v>27562.5</v>
      </c>
      <c r="V59" s="28">
        <f t="shared" si="50"/>
        <v>27562.5</v>
      </c>
      <c r="W59" s="28">
        <f t="shared" si="50"/>
        <v>27562.5</v>
      </c>
      <c r="X59" s="28">
        <f t="shared" si="51"/>
        <v>110250</v>
      </c>
    </row>
    <row r="60" spans="2:24" x14ac:dyDescent="0.15">
      <c r="B60" s="65" t="s">
        <v>45</v>
      </c>
      <c r="G60" s="28"/>
      <c r="H60" s="28">
        <f t="shared" si="46"/>
        <v>137500</v>
      </c>
      <c r="I60" s="28">
        <f t="shared" si="46"/>
        <v>137500</v>
      </c>
      <c r="J60" s="28">
        <f t="shared" si="46"/>
        <v>237500</v>
      </c>
      <c r="K60" s="28">
        <f t="shared" si="46"/>
        <v>330000</v>
      </c>
      <c r="L60" s="28">
        <f t="shared" si="47"/>
        <v>842500</v>
      </c>
      <c r="M60" s="28"/>
      <c r="N60" s="28">
        <f t="shared" si="48"/>
        <v>420000</v>
      </c>
      <c r="O60" s="28">
        <f t="shared" si="48"/>
        <v>451500</v>
      </c>
      <c r="P60" s="28">
        <f t="shared" si="48"/>
        <v>472500</v>
      </c>
      <c r="Q60" s="28">
        <f t="shared" si="48"/>
        <v>472500</v>
      </c>
      <c r="R60" s="28">
        <f t="shared" si="49"/>
        <v>1816500</v>
      </c>
      <c r="S60" s="28"/>
      <c r="T60" s="28">
        <f t="shared" si="50"/>
        <v>573300</v>
      </c>
      <c r="U60" s="28">
        <f t="shared" si="50"/>
        <v>606375</v>
      </c>
      <c r="V60" s="28">
        <f t="shared" si="50"/>
        <v>628425</v>
      </c>
      <c r="W60" s="28">
        <f t="shared" si="50"/>
        <v>628425</v>
      </c>
      <c r="X60" s="28">
        <f t="shared" si="51"/>
        <v>2436525</v>
      </c>
    </row>
    <row r="61" spans="2:24" x14ac:dyDescent="0.15">
      <c r="B61" s="65" t="s">
        <v>50</v>
      </c>
      <c r="G61" s="28"/>
      <c r="H61" s="28">
        <f t="shared" si="46"/>
        <v>32500</v>
      </c>
      <c r="I61" s="28">
        <f t="shared" si="46"/>
        <v>32500</v>
      </c>
      <c r="J61" s="28">
        <f t="shared" si="46"/>
        <v>191250</v>
      </c>
      <c r="K61" s="28">
        <f t="shared" si="46"/>
        <v>235000</v>
      </c>
      <c r="L61" s="28">
        <f t="shared" si="47"/>
        <v>491250</v>
      </c>
      <c r="M61" s="28"/>
      <c r="N61" s="28">
        <f t="shared" si="48"/>
        <v>332062.5</v>
      </c>
      <c r="O61" s="28">
        <f t="shared" si="48"/>
        <v>378000</v>
      </c>
      <c r="P61" s="28">
        <f t="shared" si="48"/>
        <v>399000</v>
      </c>
      <c r="Q61" s="28">
        <f t="shared" si="48"/>
        <v>399000</v>
      </c>
      <c r="R61" s="28">
        <f t="shared" si="49"/>
        <v>1508062.5</v>
      </c>
      <c r="S61" s="28"/>
      <c r="T61" s="28">
        <f t="shared" si="50"/>
        <v>604996.875</v>
      </c>
      <c r="U61" s="28">
        <f t="shared" si="50"/>
        <v>604996.875</v>
      </c>
      <c r="V61" s="28">
        <f t="shared" si="50"/>
        <v>604996.875</v>
      </c>
      <c r="W61" s="28">
        <f t="shared" si="50"/>
        <v>604996.875</v>
      </c>
      <c r="X61" s="28">
        <f t="shared" si="51"/>
        <v>2419987.5</v>
      </c>
    </row>
    <row r="62" spans="2:24" x14ac:dyDescent="0.15">
      <c r="B62" s="65" t="s">
        <v>48</v>
      </c>
      <c r="G62" s="28"/>
      <c r="H62" s="28">
        <f t="shared" si="46"/>
        <v>17500</v>
      </c>
      <c r="I62" s="28">
        <f t="shared" si="46"/>
        <v>17500</v>
      </c>
      <c r="J62" s="28">
        <f t="shared" si="46"/>
        <v>17500</v>
      </c>
      <c r="K62" s="28">
        <f t="shared" si="46"/>
        <v>55000</v>
      </c>
      <c r="L62" s="28">
        <f t="shared" si="47"/>
        <v>107500</v>
      </c>
      <c r="M62" s="28"/>
      <c r="N62" s="28">
        <f t="shared" si="48"/>
        <v>57750</v>
      </c>
      <c r="O62" s="28">
        <f t="shared" si="48"/>
        <v>57750</v>
      </c>
      <c r="P62" s="28">
        <f t="shared" si="48"/>
        <v>57750</v>
      </c>
      <c r="Q62" s="28">
        <f t="shared" si="48"/>
        <v>57750</v>
      </c>
      <c r="R62" s="28">
        <f t="shared" si="49"/>
        <v>231000</v>
      </c>
      <c r="S62" s="28"/>
      <c r="T62" s="28">
        <f t="shared" si="50"/>
        <v>60637.5</v>
      </c>
      <c r="U62" s="28">
        <f t="shared" si="50"/>
        <v>60637.5</v>
      </c>
      <c r="V62" s="28">
        <f t="shared" si="50"/>
        <v>60637.5</v>
      </c>
      <c r="W62" s="28">
        <f t="shared" si="50"/>
        <v>60637.5</v>
      </c>
      <c r="X62" s="28">
        <f t="shared" si="51"/>
        <v>242550</v>
      </c>
    </row>
    <row r="63" spans="2:24" x14ac:dyDescent="0.15">
      <c r="B63" s="65" t="s">
        <v>58</v>
      </c>
      <c r="G63" s="28"/>
      <c r="H63" s="28">
        <f t="shared" si="46"/>
        <v>0</v>
      </c>
      <c r="I63" s="28">
        <f t="shared" si="46"/>
        <v>0</v>
      </c>
      <c r="J63" s="28">
        <f t="shared" si="46"/>
        <v>25000</v>
      </c>
      <c r="K63" s="28">
        <f t="shared" si="46"/>
        <v>25000</v>
      </c>
      <c r="L63" s="28">
        <f t="shared" si="47"/>
        <v>50000</v>
      </c>
      <c r="M63" s="28"/>
      <c r="N63" s="28">
        <f t="shared" si="48"/>
        <v>26250</v>
      </c>
      <c r="O63" s="28">
        <f t="shared" si="48"/>
        <v>26250</v>
      </c>
      <c r="P63" s="28">
        <f t="shared" si="48"/>
        <v>26250</v>
      </c>
      <c r="Q63" s="28">
        <f t="shared" si="48"/>
        <v>26250</v>
      </c>
      <c r="R63" s="28">
        <f t="shared" si="49"/>
        <v>105000</v>
      </c>
      <c r="S63" s="28"/>
      <c r="T63" s="28">
        <f t="shared" si="50"/>
        <v>27562.5</v>
      </c>
      <c r="U63" s="28">
        <f t="shared" si="50"/>
        <v>27562.5</v>
      </c>
      <c r="V63" s="28">
        <f t="shared" si="50"/>
        <v>27562.5</v>
      </c>
      <c r="W63" s="28">
        <f t="shared" si="50"/>
        <v>27562.5</v>
      </c>
      <c r="X63" s="28">
        <f t="shared" si="51"/>
        <v>110250</v>
      </c>
    </row>
    <row r="64" spans="2:24" s="15" customFormat="1" x14ac:dyDescent="0.15">
      <c r="B64" s="30" t="str">
        <f>"Total "&amp;B57</f>
        <v>Total Payroll (Base Salary)</v>
      </c>
      <c r="C64" s="30"/>
      <c r="D64" s="41"/>
      <c r="E64" s="41"/>
      <c r="F64" s="67"/>
      <c r="H64" s="50">
        <f>SUM(H58:H63)</f>
        <v>280000</v>
      </c>
      <c r="I64" s="50">
        <f>SUM(I58:I63)</f>
        <v>280000</v>
      </c>
      <c r="J64" s="50">
        <f>SUM(J58:J63)</f>
        <v>563750</v>
      </c>
      <c r="K64" s="50">
        <f>SUM(K58:K63)</f>
        <v>737500</v>
      </c>
      <c r="L64" s="50">
        <f t="shared" si="47"/>
        <v>1861250</v>
      </c>
      <c r="N64" s="50">
        <f>SUM(N58:N63)</f>
        <v>933187.5</v>
      </c>
      <c r="O64" s="50">
        <f>SUM(O58:O63)</f>
        <v>1010625</v>
      </c>
      <c r="P64" s="50">
        <f>SUM(P58:P63)</f>
        <v>1052625</v>
      </c>
      <c r="Q64" s="50">
        <f>SUM(Q58:Q63)</f>
        <v>1052625</v>
      </c>
      <c r="R64" s="50">
        <f t="shared" si="49"/>
        <v>4049062.5</v>
      </c>
      <c r="T64" s="50">
        <f>SUM(T58:T63)</f>
        <v>1506290.625</v>
      </c>
      <c r="U64" s="50">
        <f>SUM(U58:U63)</f>
        <v>1539365.625</v>
      </c>
      <c r="V64" s="50">
        <f>SUM(V58:V63)</f>
        <v>1561415.625</v>
      </c>
      <c r="W64" s="50">
        <f>SUM(W58:W63)</f>
        <v>1561415.625</v>
      </c>
      <c r="X64" s="50">
        <f t="shared" si="51"/>
        <v>6168487.5</v>
      </c>
    </row>
    <row r="65" spans="2:24" x14ac:dyDescent="0.15">
      <c r="B65" s="42" t="s">
        <v>61</v>
      </c>
      <c r="H65" s="43">
        <f>H47-H64</f>
        <v>0</v>
      </c>
      <c r="I65" s="43">
        <f>I47-I64</f>
        <v>0</v>
      </c>
      <c r="J65" s="43">
        <f>J47-J64</f>
        <v>0</v>
      </c>
      <c r="K65" s="43">
        <f>K47-K64</f>
        <v>0</v>
      </c>
      <c r="L65" s="43">
        <f>L47-L64</f>
        <v>0</v>
      </c>
      <c r="N65" s="43">
        <f>N47-N64</f>
        <v>0</v>
      </c>
      <c r="O65" s="43">
        <f>O47-O64</f>
        <v>0</v>
      </c>
      <c r="P65" s="43">
        <f>P47-P64</f>
        <v>0</v>
      </c>
      <c r="Q65" s="43">
        <f>Q47-Q64</f>
        <v>0</v>
      </c>
      <c r="R65" s="43">
        <f>R47-R64</f>
        <v>0</v>
      </c>
      <c r="T65" s="43">
        <f>T47-T64</f>
        <v>0</v>
      </c>
      <c r="U65" s="43">
        <f>U47-U64</f>
        <v>0</v>
      </c>
      <c r="V65" s="43">
        <f>V47-V64</f>
        <v>0</v>
      </c>
      <c r="W65" s="43">
        <f>W47-W64</f>
        <v>0</v>
      </c>
      <c r="X65" s="43">
        <f>X47-X64</f>
        <v>0</v>
      </c>
    </row>
    <row r="69" spans="2:24" x14ac:dyDescent="0.15">
      <c r="B69" s="12" t="s">
        <v>78</v>
      </c>
      <c r="H69" s="46">
        <v>0</v>
      </c>
      <c r="I69" s="46">
        <f t="shared" ref="I69:J69" si="52">H69</f>
        <v>0</v>
      </c>
      <c r="J69" s="46">
        <f t="shared" si="52"/>
        <v>0</v>
      </c>
      <c r="K69" s="46">
        <v>0.15</v>
      </c>
      <c r="N69" s="46">
        <v>0</v>
      </c>
      <c r="O69" s="46">
        <f t="shared" ref="O69" si="53">N69</f>
        <v>0</v>
      </c>
      <c r="P69" s="46">
        <f t="shared" ref="P69" si="54">O69</f>
        <v>0</v>
      </c>
      <c r="Q69" s="46">
        <v>0.15</v>
      </c>
      <c r="T69" s="46">
        <v>0</v>
      </c>
      <c r="U69" s="46">
        <f t="shared" ref="U69" si="55">T69</f>
        <v>0</v>
      </c>
      <c r="V69" s="46">
        <f t="shared" ref="V69" si="56">U69</f>
        <v>0</v>
      </c>
      <c r="W69" s="46">
        <v>0.15</v>
      </c>
    </row>
    <row r="71" spans="2:24" x14ac:dyDescent="0.15">
      <c r="B71" s="40" t="s">
        <v>79</v>
      </c>
    </row>
    <row r="72" spans="2:24" x14ac:dyDescent="0.15">
      <c r="B72" s="68" t="str">
        <f t="shared" ref="B72:B77" si="57">B58</f>
        <v>General &amp; Admin</v>
      </c>
      <c r="G72" s="28"/>
      <c r="H72" s="28">
        <f t="shared" ref="H72:K77" si="58">SUMIFS($F$7:$F$46,$C$7:$C$46,"="&amp;$B72)*H$69</f>
        <v>0</v>
      </c>
      <c r="I72" s="28">
        <f t="shared" si="58"/>
        <v>0</v>
      </c>
      <c r="J72" s="28">
        <f t="shared" si="58"/>
        <v>0</v>
      </c>
      <c r="K72" s="28">
        <f t="shared" si="58"/>
        <v>115500</v>
      </c>
      <c r="L72" s="28">
        <f t="shared" ref="L72:L78" si="59">SUM(H72:K72)</f>
        <v>115500</v>
      </c>
      <c r="M72" s="28"/>
      <c r="N72" s="28">
        <f>SUMIFS($F$7:$F$46,$C$7:$C$46,"="&amp;$B72)*(1+$D$3)*N$69</f>
        <v>0</v>
      </c>
      <c r="O72" s="28">
        <f t="shared" ref="O72:Q77" si="60">SUMIFS($F$7:$F$46,$C$7:$C$46,"="&amp;$B72)*(1+$D$3)*O$69</f>
        <v>0</v>
      </c>
      <c r="P72" s="28">
        <f t="shared" si="60"/>
        <v>0</v>
      </c>
      <c r="Q72" s="28">
        <f t="shared" si="60"/>
        <v>121275</v>
      </c>
      <c r="R72" s="28">
        <f t="shared" ref="R72:R78" si="61">SUM(N72:Q72)</f>
        <v>121275</v>
      </c>
      <c r="S72" s="28"/>
      <c r="T72" s="28">
        <f>SUMIFS($F$7:$F$46,$C$7:$C$46,"="&amp;$B72)*(1+$D$3)^2*T$69</f>
        <v>0</v>
      </c>
      <c r="U72" s="28">
        <f t="shared" ref="U72:W77" si="62">SUMIFS($F$7:$F$46,$C$7:$C$46,"="&amp;$B72)*(1+$D$3)^2*U$69</f>
        <v>0</v>
      </c>
      <c r="V72" s="28">
        <f t="shared" si="62"/>
        <v>0</v>
      </c>
      <c r="W72" s="28">
        <f t="shared" si="62"/>
        <v>127338.75</v>
      </c>
      <c r="X72" s="28">
        <f t="shared" ref="X72:X78" si="63">SUM(T72:W72)</f>
        <v>127338.75</v>
      </c>
    </row>
    <row r="73" spans="2:24" x14ac:dyDescent="0.15">
      <c r="B73" s="68" t="str">
        <f t="shared" si="57"/>
        <v>Customer Success</v>
      </c>
      <c r="G73" s="28"/>
      <c r="H73" s="28">
        <f t="shared" si="58"/>
        <v>0</v>
      </c>
      <c r="I73" s="28">
        <f t="shared" si="58"/>
        <v>0</v>
      </c>
      <c r="J73" s="28">
        <f t="shared" si="58"/>
        <v>0</v>
      </c>
      <c r="K73" s="28">
        <f t="shared" si="58"/>
        <v>15000</v>
      </c>
      <c r="L73" s="28">
        <f t="shared" si="59"/>
        <v>15000</v>
      </c>
      <c r="M73" s="28"/>
      <c r="N73" s="28">
        <f t="shared" ref="N73:N77" si="64">SUMIFS($F$7:$F$46,$C$7:$C$46,"="&amp;$B73)*(1+$D$3)*N$69</f>
        <v>0</v>
      </c>
      <c r="O73" s="28">
        <f t="shared" si="60"/>
        <v>0</v>
      </c>
      <c r="P73" s="28">
        <f t="shared" si="60"/>
        <v>0</v>
      </c>
      <c r="Q73" s="28">
        <f t="shared" si="60"/>
        <v>15750</v>
      </c>
      <c r="R73" s="28">
        <f t="shared" si="61"/>
        <v>15750</v>
      </c>
      <c r="S73" s="28"/>
      <c r="T73" s="28">
        <f t="shared" ref="T73:T77" si="65">SUMIFS($F$7:$F$46,$C$7:$C$46,"="&amp;$B73)*(1+$D$3)^2*T$69</f>
        <v>0</v>
      </c>
      <c r="U73" s="28">
        <f t="shared" si="62"/>
        <v>0</v>
      </c>
      <c r="V73" s="28">
        <f t="shared" si="62"/>
        <v>0</v>
      </c>
      <c r="W73" s="28">
        <f t="shared" si="62"/>
        <v>16537.5</v>
      </c>
      <c r="X73" s="28">
        <f t="shared" si="63"/>
        <v>16537.5</v>
      </c>
    </row>
    <row r="74" spans="2:24" x14ac:dyDescent="0.15">
      <c r="B74" s="68" t="str">
        <f t="shared" si="57"/>
        <v>Engineering</v>
      </c>
      <c r="G74" s="28"/>
      <c r="H74" s="28">
        <f t="shared" si="58"/>
        <v>0</v>
      </c>
      <c r="I74" s="28">
        <f t="shared" si="58"/>
        <v>0</v>
      </c>
      <c r="J74" s="28">
        <f t="shared" si="58"/>
        <v>0</v>
      </c>
      <c r="K74" s="28">
        <f t="shared" si="58"/>
        <v>342000</v>
      </c>
      <c r="L74" s="28">
        <f t="shared" si="59"/>
        <v>342000</v>
      </c>
      <c r="M74" s="28"/>
      <c r="N74" s="28">
        <f t="shared" si="64"/>
        <v>0</v>
      </c>
      <c r="O74" s="28">
        <f t="shared" si="60"/>
        <v>0</v>
      </c>
      <c r="P74" s="28">
        <f t="shared" si="60"/>
        <v>0</v>
      </c>
      <c r="Q74" s="28">
        <f t="shared" si="60"/>
        <v>359100</v>
      </c>
      <c r="R74" s="28">
        <f t="shared" si="61"/>
        <v>359100</v>
      </c>
      <c r="S74" s="28"/>
      <c r="T74" s="28">
        <f t="shared" si="65"/>
        <v>0</v>
      </c>
      <c r="U74" s="28">
        <f t="shared" si="62"/>
        <v>0</v>
      </c>
      <c r="V74" s="28">
        <f t="shared" si="62"/>
        <v>0</v>
      </c>
      <c r="W74" s="28">
        <f t="shared" si="62"/>
        <v>377055</v>
      </c>
      <c r="X74" s="28">
        <f t="shared" si="63"/>
        <v>377055</v>
      </c>
    </row>
    <row r="75" spans="2:24" x14ac:dyDescent="0.15">
      <c r="B75" s="68" t="str">
        <f t="shared" si="57"/>
        <v>Sales</v>
      </c>
      <c r="G75" s="28"/>
      <c r="H75" s="28">
        <f t="shared" si="58"/>
        <v>0</v>
      </c>
      <c r="I75" s="28">
        <f t="shared" si="58"/>
        <v>0</v>
      </c>
      <c r="J75" s="28">
        <f t="shared" si="58"/>
        <v>0</v>
      </c>
      <c r="K75" s="28">
        <f t="shared" si="58"/>
        <v>329250</v>
      </c>
      <c r="L75" s="28">
        <f t="shared" si="59"/>
        <v>329250</v>
      </c>
      <c r="M75" s="28"/>
      <c r="N75" s="28">
        <f t="shared" si="64"/>
        <v>0</v>
      </c>
      <c r="O75" s="28">
        <f t="shared" si="60"/>
        <v>0</v>
      </c>
      <c r="P75" s="28">
        <f t="shared" si="60"/>
        <v>0</v>
      </c>
      <c r="Q75" s="28">
        <f t="shared" si="60"/>
        <v>345712.5</v>
      </c>
      <c r="R75" s="28">
        <f t="shared" si="61"/>
        <v>345712.5</v>
      </c>
      <c r="S75" s="28"/>
      <c r="T75" s="28">
        <f t="shared" si="65"/>
        <v>0</v>
      </c>
      <c r="U75" s="28">
        <f t="shared" si="62"/>
        <v>0</v>
      </c>
      <c r="V75" s="28">
        <f t="shared" si="62"/>
        <v>0</v>
      </c>
      <c r="W75" s="28">
        <f t="shared" si="62"/>
        <v>362998.125</v>
      </c>
      <c r="X75" s="28">
        <f t="shared" si="63"/>
        <v>362998.125</v>
      </c>
    </row>
    <row r="76" spans="2:24" x14ac:dyDescent="0.15">
      <c r="B76" s="68" t="str">
        <f t="shared" si="57"/>
        <v>Marketing</v>
      </c>
      <c r="G76" s="28"/>
      <c r="H76" s="28">
        <f t="shared" si="58"/>
        <v>0</v>
      </c>
      <c r="I76" s="28">
        <f t="shared" si="58"/>
        <v>0</v>
      </c>
      <c r="J76" s="28">
        <f t="shared" si="58"/>
        <v>0</v>
      </c>
      <c r="K76" s="28">
        <f t="shared" si="58"/>
        <v>33000</v>
      </c>
      <c r="L76" s="28">
        <f t="shared" si="59"/>
        <v>33000</v>
      </c>
      <c r="M76" s="28"/>
      <c r="N76" s="28">
        <f t="shared" si="64"/>
        <v>0</v>
      </c>
      <c r="O76" s="28">
        <f t="shared" si="60"/>
        <v>0</v>
      </c>
      <c r="P76" s="28">
        <f t="shared" si="60"/>
        <v>0</v>
      </c>
      <c r="Q76" s="28">
        <f t="shared" si="60"/>
        <v>34650</v>
      </c>
      <c r="R76" s="28">
        <f t="shared" si="61"/>
        <v>34650</v>
      </c>
      <c r="S76" s="28"/>
      <c r="T76" s="28">
        <f t="shared" si="65"/>
        <v>0</v>
      </c>
      <c r="U76" s="28">
        <f t="shared" si="62"/>
        <v>0</v>
      </c>
      <c r="V76" s="28">
        <f t="shared" si="62"/>
        <v>0</v>
      </c>
      <c r="W76" s="28">
        <f t="shared" si="62"/>
        <v>36382.5</v>
      </c>
      <c r="X76" s="28">
        <f t="shared" si="63"/>
        <v>36382.5</v>
      </c>
    </row>
    <row r="77" spans="2:24" x14ac:dyDescent="0.15">
      <c r="B77" s="68" t="str">
        <f t="shared" si="57"/>
        <v>HR</v>
      </c>
      <c r="G77" s="28"/>
      <c r="H77" s="28">
        <f t="shared" si="58"/>
        <v>0</v>
      </c>
      <c r="I77" s="28">
        <f t="shared" si="58"/>
        <v>0</v>
      </c>
      <c r="J77" s="28">
        <f t="shared" si="58"/>
        <v>0</v>
      </c>
      <c r="K77" s="28">
        <f t="shared" si="58"/>
        <v>15000</v>
      </c>
      <c r="L77" s="28">
        <f t="shared" si="59"/>
        <v>15000</v>
      </c>
      <c r="M77" s="28"/>
      <c r="N77" s="28">
        <f t="shared" si="64"/>
        <v>0</v>
      </c>
      <c r="O77" s="28">
        <f t="shared" si="60"/>
        <v>0</v>
      </c>
      <c r="P77" s="28">
        <f t="shared" si="60"/>
        <v>0</v>
      </c>
      <c r="Q77" s="28">
        <f t="shared" si="60"/>
        <v>15750</v>
      </c>
      <c r="R77" s="28">
        <f t="shared" si="61"/>
        <v>15750</v>
      </c>
      <c r="S77" s="28"/>
      <c r="T77" s="28">
        <f t="shared" si="65"/>
        <v>0</v>
      </c>
      <c r="U77" s="28">
        <f t="shared" si="62"/>
        <v>0</v>
      </c>
      <c r="V77" s="28">
        <f t="shared" si="62"/>
        <v>0</v>
      </c>
      <c r="W77" s="28">
        <f t="shared" si="62"/>
        <v>16537.5</v>
      </c>
      <c r="X77" s="28">
        <f t="shared" si="63"/>
        <v>16537.5</v>
      </c>
    </row>
    <row r="78" spans="2:24" s="15" customFormat="1" x14ac:dyDescent="0.15">
      <c r="B78" s="30" t="str">
        <f>"Total "&amp;B71</f>
        <v>Total Employee Bonuses</v>
      </c>
      <c r="C78" s="30"/>
      <c r="D78" s="41"/>
      <c r="E78" s="41"/>
      <c r="F78" s="67"/>
      <c r="H78" s="50">
        <f>SUM(H72:H77)</f>
        <v>0</v>
      </c>
      <c r="I78" s="50">
        <f>SUM(I72:I77)</f>
        <v>0</v>
      </c>
      <c r="J78" s="50">
        <f>SUM(J72:J77)</f>
        <v>0</v>
      </c>
      <c r="K78" s="50">
        <f>SUM(K72:K77)</f>
        <v>849750</v>
      </c>
      <c r="L78" s="50">
        <f t="shared" si="59"/>
        <v>849750</v>
      </c>
      <c r="N78" s="50">
        <f>SUM(N72:N77)</f>
        <v>0</v>
      </c>
      <c r="O78" s="50">
        <f>SUM(O72:O77)</f>
        <v>0</v>
      </c>
      <c r="P78" s="50">
        <f>SUM(P72:P77)</f>
        <v>0</v>
      </c>
      <c r="Q78" s="50">
        <f>SUM(Q72:Q77)</f>
        <v>892237.5</v>
      </c>
      <c r="R78" s="50">
        <f t="shared" si="61"/>
        <v>892237.5</v>
      </c>
      <c r="T78" s="50">
        <f>SUM(T72:T77)</f>
        <v>0</v>
      </c>
      <c r="U78" s="50">
        <f>SUM(U72:U77)</f>
        <v>0</v>
      </c>
      <c r="V78" s="50">
        <f>SUM(V72:V77)</f>
        <v>0</v>
      </c>
      <c r="W78" s="50">
        <f>SUM(W72:W77)</f>
        <v>936849.375</v>
      </c>
      <c r="X78" s="50">
        <f t="shared" si="63"/>
        <v>936849.375</v>
      </c>
    </row>
    <row r="79" spans="2:24" x14ac:dyDescent="0.15">
      <c r="B79" s="42"/>
      <c r="H79" s="43"/>
      <c r="I79" s="43"/>
      <c r="J79" s="43"/>
      <c r="K79" s="43"/>
      <c r="L79" s="43"/>
      <c r="N79" s="43"/>
      <c r="O79" s="43"/>
      <c r="P79" s="43"/>
      <c r="Q79" s="43"/>
      <c r="R79" s="43"/>
      <c r="T79" s="43"/>
      <c r="U79" s="43"/>
      <c r="V79" s="43"/>
      <c r="W79" s="43"/>
      <c r="X79" s="43"/>
    </row>
    <row r="82" spans="2:24" x14ac:dyDescent="0.15">
      <c r="B82" s="64" t="s">
        <v>62</v>
      </c>
      <c r="H82" s="46">
        <v>0.08</v>
      </c>
      <c r="I82" s="46">
        <f t="shared" ref="I82" si="66">H82</f>
        <v>0.08</v>
      </c>
      <c r="J82" s="46">
        <f t="shared" ref="J82" si="67">I82</f>
        <v>0.08</v>
      </c>
      <c r="K82" s="46">
        <f t="shared" ref="K82" si="68">J82</f>
        <v>0.08</v>
      </c>
      <c r="N82" s="46">
        <v>0.08</v>
      </c>
      <c r="O82" s="46">
        <f t="shared" ref="O82" si="69">N82</f>
        <v>0.08</v>
      </c>
      <c r="P82" s="46">
        <f t="shared" ref="P82" si="70">O82</f>
        <v>0.08</v>
      </c>
      <c r="Q82" s="46">
        <f t="shared" ref="Q82" si="71">P82</f>
        <v>0.08</v>
      </c>
      <c r="T82" s="46">
        <v>0.08</v>
      </c>
      <c r="U82" s="46">
        <f t="shared" ref="U82" si="72">T82</f>
        <v>0.08</v>
      </c>
      <c r="V82" s="46">
        <f t="shared" ref="V82" si="73">U82</f>
        <v>0.08</v>
      </c>
      <c r="W82" s="46">
        <f t="shared" ref="W82" si="74">V82</f>
        <v>0.08</v>
      </c>
    </row>
    <row r="84" spans="2:24" x14ac:dyDescent="0.15">
      <c r="B84" s="40" t="s">
        <v>63</v>
      </c>
    </row>
    <row r="85" spans="2:24" x14ac:dyDescent="0.15">
      <c r="B85" s="68" t="str">
        <f t="shared" ref="B85:B90" si="75">B58</f>
        <v>General &amp; Admin</v>
      </c>
      <c r="G85" s="28"/>
      <c r="H85" s="28">
        <f t="shared" ref="H85:K90" si="76">(H58+H72)*H$82</f>
        <v>5400</v>
      </c>
      <c r="I85" s="28">
        <f t="shared" si="76"/>
        <v>5400</v>
      </c>
      <c r="J85" s="28">
        <f t="shared" si="76"/>
        <v>5400</v>
      </c>
      <c r="K85" s="28">
        <f t="shared" si="76"/>
        <v>14640</v>
      </c>
      <c r="L85" s="28">
        <f t="shared" ref="L85:L91" si="77">SUM(H85:K85)</f>
        <v>30840</v>
      </c>
      <c r="M85" s="28"/>
      <c r="N85" s="28">
        <f t="shared" ref="N85:Q90" si="78">(N58+N72)*N$82</f>
        <v>5670</v>
      </c>
      <c r="O85" s="28">
        <f t="shared" si="78"/>
        <v>5670</v>
      </c>
      <c r="P85" s="28">
        <f t="shared" si="78"/>
        <v>5670</v>
      </c>
      <c r="Q85" s="28">
        <f t="shared" si="78"/>
        <v>15372</v>
      </c>
      <c r="R85" s="28">
        <f t="shared" ref="R85:R91" si="79">SUM(N85:Q85)</f>
        <v>32382</v>
      </c>
      <c r="S85" s="28"/>
      <c r="T85" s="28">
        <f t="shared" ref="T85:W90" si="80">(T58+T72)*T$82</f>
        <v>16978.5</v>
      </c>
      <c r="U85" s="28">
        <f t="shared" si="80"/>
        <v>16978.5</v>
      </c>
      <c r="V85" s="28">
        <f t="shared" si="80"/>
        <v>16978.5</v>
      </c>
      <c r="W85" s="28">
        <f t="shared" si="80"/>
        <v>27165.600000000002</v>
      </c>
      <c r="X85" s="28">
        <f t="shared" ref="X85:X91" si="81">SUM(T85:W85)</f>
        <v>78101.100000000006</v>
      </c>
    </row>
    <row r="86" spans="2:24" x14ac:dyDescent="0.15">
      <c r="B86" s="68" t="str">
        <f t="shared" si="75"/>
        <v>Customer Success</v>
      </c>
      <c r="G86" s="28"/>
      <c r="H86" s="28">
        <f t="shared" si="76"/>
        <v>2000</v>
      </c>
      <c r="I86" s="28">
        <f t="shared" si="76"/>
        <v>2000</v>
      </c>
      <c r="J86" s="28">
        <f t="shared" si="76"/>
        <v>2000</v>
      </c>
      <c r="K86" s="28">
        <f t="shared" si="76"/>
        <v>3200</v>
      </c>
      <c r="L86" s="28">
        <f t="shared" si="77"/>
        <v>9200</v>
      </c>
      <c r="M86" s="28"/>
      <c r="N86" s="28">
        <f t="shared" si="78"/>
        <v>2100</v>
      </c>
      <c r="O86" s="28">
        <f t="shared" si="78"/>
        <v>2100</v>
      </c>
      <c r="P86" s="28">
        <f t="shared" si="78"/>
        <v>2100</v>
      </c>
      <c r="Q86" s="28">
        <f t="shared" si="78"/>
        <v>3360</v>
      </c>
      <c r="R86" s="28">
        <f t="shared" si="79"/>
        <v>9660</v>
      </c>
      <c r="S86" s="28"/>
      <c r="T86" s="28">
        <f t="shared" si="80"/>
        <v>2205</v>
      </c>
      <c r="U86" s="28">
        <f t="shared" si="80"/>
        <v>2205</v>
      </c>
      <c r="V86" s="28">
        <f t="shared" si="80"/>
        <v>2205</v>
      </c>
      <c r="W86" s="28">
        <f t="shared" si="80"/>
        <v>3528</v>
      </c>
      <c r="X86" s="28">
        <f t="shared" si="81"/>
        <v>10143</v>
      </c>
    </row>
    <row r="87" spans="2:24" x14ac:dyDescent="0.15">
      <c r="B87" s="68" t="str">
        <f t="shared" si="75"/>
        <v>Engineering</v>
      </c>
      <c r="G87" s="28"/>
      <c r="H87" s="28">
        <f t="shared" si="76"/>
        <v>11000</v>
      </c>
      <c r="I87" s="28">
        <f t="shared" si="76"/>
        <v>11000</v>
      </c>
      <c r="J87" s="28">
        <f t="shared" si="76"/>
        <v>19000</v>
      </c>
      <c r="K87" s="28">
        <f t="shared" si="76"/>
        <v>53760</v>
      </c>
      <c r="L87" s="28">
        <f t="shared" si="77"/>
        <v>94760</v>
      </c>
      <c r="M87" s="28"/>
      <c r="N87" s="28">
        <f t="shared" si="78"/>
        <v>33600</v>
      </c>
      <c r="O87" s="28">
        <f t="shared" si="78"/>
        <v>36120</v>
      </c>
      <c r="P87" s="28">
        <f t="shared" si="78"/>
        <v>37800</v>
      </c>
      <c r="Q87" s="28">
        <f t="shared" si="78"/>
        <v>66528</v>
      </c>
      <c r="R87" s="28">
        <f t="shared" si="79"/>
        <v>174048</v>
      </c>
      <c r="S87" s="28"/>
      <c r="T87" s="28">
        <f t="shared" si="80"/>
        <v>45864</v>
      </c>
      <c r="U87" s="28">
        <f t="shared" si="80"/>
        <v>48510</v>
      </c>
      <c r="V87" s="28">
        <f t="shared" si="80"/>
        <v>50274</v>
      </c>
      <c r="W87" s="28">
        <f t="shared" si="80"/>
        <v>80438.400000000009</v>
      </c>
      <c r="X87" s="28">
        <f t="shared" si="81"/>
        <v>225086.40000000002</v>
      </c>
    </row>
    <row r="88" spans="2:24" x14ac:dyDescent="0.15">
      <c r="B88" s="68" t="str">
        <f t="shared" si="75"/>
        <v>Sales</v>
      </c>
      <c r="G88" s="28"/>
      <c r="H88" s="28">
        <f t="shared" si="76"/>
        <v>2600</v>
      </c>
      <c r="I88" s="28">
        <f t="shared" si="76"/>
        <v>2600</v>
      </c>
      <c r="J88" s="28">
        <f t="shared" si="76"/>
        <v>15300</v>
      </c>
      <c r="K88" s="28">
        <f t="shared" si="76"/>
        <v>45140</v>
      </c>
      <c r="L88" s="28">
        <f t="shared" si="77"/>
        <v>65640</v>
      </c>
      <c r="M88" s="28"/>
      <c r="N88" s="28">
        <f t="shared" si="78"/>
        <v>26565</v>
      </c>
      <c r="O88" s="28">
        <f t="shared" si="78"/>
        <v>30240</v>
      </c>
      <c r="P88" s="28">
        <f t="shared" si="78"/>
        <v>31920</v>
      </c>
      <c r="Q88" s="28">
        <f t="shared" si="78"/>
        <v>59577</v>
      </c>
      <c r="R88" s="28">
        <f t="shared" si="79"/>
        <v>148302</v>
      </c>
      <c r="S88" s="28"/>
      <c r="T88" s="28">
        <f t="shared" si="80"/>
        <v>48399.75</v>
      </c>
      <c r="U88" s="28">
        <f t="shared" si="80"/>
        <v>48399.75</v>
      </c>
      <c r="V88" s="28">
        <f t="shared" si="80"/>
        <v>48399.75</v>
      </c>
      <c r="W88" s="28">
        <f t="shared" si="80"/>
        <v>77439.600000000006</v>
      </c>
      <c r="X88" s="28">
        <f t="shared" si="81"/>
        <v>222638.85</v>
      </c>
    </row>
    <row r="89" spans="2:24" x14ac:dyDescent="0.15">
      <c r="B89" s="68" t="str">
        <f t="shared" si="75"/>
        <v>Marketing</v>
      </c>
      <c r="G89" s="28"/>
      <c r="H89" s="28">
        <f t="shared" si="76"/>
        <v>1400</v>
      </c>
      <c r="I89" s="28">
        <f t="shared" si="76"/>
        <v>1400</v>
      </c>
      <c r="J89" s="28">
        <f t="shared" si="76"/>
        <v>1400</v>
      </c>
      <c r="K89" s="28">
        <f t="shared" si="76"/>
        <v>7040</v>
      </c>
      <c r="L89" s="28">
        <f t="shared" si="77"/>
        <v>11240</v>
      </c>
      <c r="M89" s="28"/>
      <c r="N89" s="28">
        <f t="shared" si="78"/>
        <v>4620</v>
      </c>
      <c r="O89" s="28">
        <f t="shared" si="78"/>
        <v>4620</v>
      </c>
      <c r="P89" s="28">
        <f t="shared" si="78"/>
        <v>4620</v>
      </c>
      <c r="Q89" s="28">
        <f t="shared" si="78"/>
        <v>7392</v>
      </c>
      <c r="R89" s="28">
        <f t="shared" si="79"/>
        <v>21252</v>
      </c>
      <c r="S89" s="28"/>
      <c r="T89" s="28">
        <f t="shared" si="80"/>
        <v>4851</v>
      </c>
      <c r="U89" s="28">
        <f t="shared" si="80"/>
        <v>4851</v>
      </c>
      <c r="V89" s="28">
        <f t="shared" si="80"/>
        <v>4851</v>
      </c>
      <c r="W89" s="28">
        <f t="shared" si="80"/>
        <v>7761.6</v>
      </c>
      <c r="X89" s="28">
        <f t="shared" si="81"/>
        <v>22314.6</v>
      </c>
    </row>
    <row r="90" spans="2:24" x14ac:dyDescent="0.15">
      <c r="B90" s="68" t="str">
        <f t="shared" si="75"/>
        <v>HR</v>
      </c>
      <c r="G90" s="28"/>
      <c r="H90" s="28">
        <f t="shared" si="76"/>
        <v>0</v>
      </c>
      <c r="I90" s="28">
        <f t="shared" si="76"/>
        <v>0</v>
      </c>
      <c r="J90" s="28">
        <f t="shared" si="76"/>
        <v>2000</v>
      </c>
      <c r="K90" s="28">
        <f t="shared" si="76"/>
        <v>3200</v>
      </c>
      <c r="L90" s="28">
        <f t="shared" si="77"/>
        <v>5200</v>
      </c>
      <c r="M90" s="28"/>
      <c r="N90" s="28">
        <f t="shared" si="78"/>
        <v>2100</v>
      </c>
      <c r="O90" s="28">
        <f t="shared" si="78"/>
        <v>2100</v>
      </c>
      <c r="P90" s="28">
        <f t="shared" si="78"/>
        <v>2100</v>
      </c>
      <c r="Q90" s="28">
        <f t="shared" si="78"/>
        <v>3360</v>
      </c>
      <c r="R90" s="28">
        <f t="shared" si="79"/>
        <v>9660</v>
      </c>
      <c r="S90" s="28"/>
      <c r="T90" s="28">
        <f t="shared" si="80"/>
        <v>2205</v>
      </c>
      <c r="U90" s="28">
        <f t="shared" si="80"/>
        <v>2205</v>
      </c>
      <c r="V90" s="28">
        <f t="shared" si="80"/>
        <v>2205</v>
      </c>
      <c r="W90" s="28">
        <f t="shared" si="80"/>
        <v>3528</v>
      </c>
      <c r="X90" s="28">
        <f t="shared" si="81"/>
        <v>10143</v>
      </c>
    </row>
    <row r="91" spans="2:24" x14ac:dyDescent="0.15">
      <c r="B91" s="30" t="str">
        <f>"Total "&amp;B84</f>
        <v>Total Payroll Tax</v>
      </c>
      <c r="C91" s="31"/>
      <c r="D91" s="32"/>
      <c r="E91" s="32"/>
      <c r="F91" s="33"/>
      <c r="G91" s="15"/>
      <c r="H91" s="50">
        <f>SUM(H85:H90)</f>
        <v>22400</v>
      </c>
      <c r="I91" s="50">
        <f>SUM(I85:I90)</f>
        <v>22400</v>
      </c>
      <c r="J91" s="50">
        <f>SUM(J85:J90)</f>
        <v>45100</v>
      </c>
      <c r="K91" s="50">
        <f>SUM(K85:K90)</f>
        <v>126980</v>
      </c>
      <c r="L91" s="50">
        <f t="shared" si="77"/>
        <v>216880</v>
      </c>
      <c r="M91" s="15"/>
      <c r="N91" s="50">
        <f>SUM(N85:N90)</f>
        <v>74655</v>
      </c>
      <c r="O91" s="50">
        <f>SUM(O85:O90)</f>
        <v>80850</v>
      </c>
      <c r="P91" s="50">
        <f>SUM(P85:P90)</f>
        <v>84210</v>
      </c>
      <c r="Q91" s="50">
        <f>SUM(Q85:Q90)</f>
        <v>155589</v>
      </c>
      <c r="R91" s="50">
        <f t="shared" si="79"/>
        <v>395304</v>
      </c>
      <c r="S91" s="15"/>
      <c r="T91" s="50">
        <f>SUM(T85:T90)</f>
        <v>120503.25</v>
      </c>
      <c r="U91" s="50">
        <f>SUM(U85:U90)</f>
        <v>123149.25</v>
      </c>
      <c r="V91" s="50">
        <f>SUM(V85:V90)</f>
        <v>124913.25</v>
      </c>
      <c r="W91" s="50">
        <f>SUM(W85:W90)</f>
        <v>199861.20000000004</v>
      </c>
      <c r="X91" s="50">
        <f t="shared" si="81"/>
        <v>568426.95000000007</v>
      </c>
    </row>
    <row r="92" spans="2:24" x14ac:dyDescent="0.15">
      <c r="B92" s="42"/>
      <c r="H92" s="43"/>
      <c r="I92" s="43"/>
      <c r="J92" s="43"/>
      <c r="K92" s="43"/>
      <c r="L92" s="43"/>
      <c r="N92" s="43"/>
      <c r="O92" s="43"/>
      <c r="P92" s="43"/>
      <c r="Q92" s="43"/>
      <c r="R92" s="43"/>
      <c r="T92" s="43"/>
      <c r="U92" s="43"/>
      <c r="V92" s="43"/>
      <c r="W92" s="43"/>
      <c r="X92" s="43"/>
    </row>
    <row r="95" spans="2:24" x14ac:dyDescent="0.15">
      <c r="B95" s="64" t="s">
        <v>64</v>
      </c>
      <c r="H95" s="46">
        <v>0.1</v>
      </c>
      <c r="I95" s="46">
        <f t="shared" ref="I95" si="82">H95</f>
        <v>0.1</v>
      </c>
      <c r="J95" s="46">
        <f t="shared" ref="J95" si="83">I95</f>
        <v>0.1</v>
      </c>
      <c r="K95" s="46">
        <f t="shared" ref="K95" si="84">J95</f>
        <v>0.1</v>
      </c>
      <c r="N95" s="46">
        <v>0.1</v>
      </c>
      <c r="O95" s="46">
        <f t="shared" ref="O95" si="85">N95</f>
        <v>0.1</v>
      </c>
      <c r="P95" s="46">
        <f t="shared" ref="P95" si="86">O95</f>
        <v>0.1</v>
      </c>
      <c r="Q95" s="46">
        <f t="shared" ref="Q95" si="87">P95</f>
        <v>0.1</v>
      </c>
      <c r="T95" s="46">
        <v>0.1</v>
      </c>
      <c r="U95" s="46">
        <f t="shared" ref="U95" si="88">T95</f>
        <v>0.1</v>
      </c>
      <c r="V95" s="46">
        <f t="shared" ref="V95" si="89">U95</f>
        <v>0.1</v>
      </c>
      <c r="W95" s="46">
        <f t="shared" ref="W95" si="90">V95</f>
        <v>0.1</v>
      </c>
      <c r="X95" s="44">
        <f>X104/X64</f>
        <v>0.1</v>
      </c>
    </row>
    <row r="97" spans="2:24" x14ac:dyDescent="0.15">
      <c r="B97" s="40" t="s">
        <v>65</v>
      </c>
    </row>
    <row r="98" spans="2:24" x14ac:dyDescent="0.15">
      <c r="B98" s="68" t="str">
        <f t="shared" ref="B98:B103" si="91">B58</f>
        <v>General &amp; Admin</v>
      </c>
      <c r="G98" s="28"/>
      <c r="H98" s="28">
        <f t="shared" ref="H98:K103" si="92">H$95*H58</f>
        <v>6750</v>
      </c>
      <c r="I98" s="28">
        <f t="shared" si="92"/>
        <v>6750</v>
      </c>
      <c r="J98" s="28">
        <f t="shared" si="92"/>
        <v>6750</v>
      </c>
      <c r="K98" s="28">
        <f t="shared" si="92"/>
        <v>6750</v>
      </c>
      <c r="L98" s="28">
        <f t="shared" ref="L98:L104" si="93">SUM(H98:K98)</f>
        <v>27000</v>
      </c>
      <c r="M98" s="28"/>
      <c r="N98" s="28">
        <f t="shared" ref="N98:Q103" si="94">N$95*N58</f>
        <v>7087.5</v>
      </c>
      <c r="O98" s="28">
        <f t="shared" si="94"/>
        <v>7087.5</v>
      </c>
      <c r="P98" s="28">
        <f t="shared" si="94"/>
        <v>7087.5</v>
      </c>
      <c r="Q98" s="28">
        <f t="shared" si="94"/>
        <v>7087.5</v>
      </c>
      <c r="R98" s="28">
        <f t="shared" ref="R98:R104" si="95">SUM(N98:Q98)</f>
        <v>28350</v>
      </c>
      <c r="S98" s="28"/>
      <c r="T98" s="28">
        <f t="shared" ref="T98:W103" si="96">T$95*T58</f>
        <v>21223.125</v>
      </c>
      <c r="U98" s="28">
        <f t="shared" si="96"/>
        <v>21223.125</v>
      </c>
      <c r="V98" s="28">
        <f t="shared" si="96"/>
        <v>21223.125</v>
      </c>
      <c r="W98" s="28">
        <f t="shared" si="96"/>
        <v>21223.125</v>
      </c>
      <c r="X98" s="28">
        <f t="shared" ref="X98:X104" si="97">SUM(T98:W98)</f>
        <v>84892.5</v>
      </c>
    </row>
    <row r="99" spans="2:24" x14ac:dyDescent="0.15">
      <c r="B99" s="68" t="str">
        <f t="shared" si="91"/>
        <v>Customer Success</v>
      </c>
      <c r="G99" s="28"/>
      <c r="H99" s="28">
        <f t="shared" si="92"/>
        <v>2500</v>
      </c>
      <c r="I99" s="28">
        <f t="shared" si="92"/>
        <v>2500</v>
      </c>
      <c r="J99" s="28">
        <f t="shared" si="92"/>
        <v>2500</v>
      </c>
      <c r="K99" s="28">
        <f t="shared" si="92"/>
        <v>2500</v>
      </c>
      <c r="L99" s="28">
        <f t="shared" si="93"/>
        <v>10000</v>
      </c>
      <c r="M99" s="28"/>
      <c r="N99" s="28">
        <f t="shared" si="94"/>
        <v>2625</v>
      </c>
      <c r="O99" s="28">
        <f t="shared" si="94"/>
        <v>2625</v>
      </c>
      <c r="P99" s="28">
        <f t="shared" si="94"/>
        <v>2625</v>
      </c>
      <c r="Q99" s="28">
        <f t="shared" si="94"/>
        <v>2625</v>
      </c>
      <c r="R99" s="28">
        <f t="shared" si="95"/>
        <v>10500</v>
      </c>
      <c r="S99" s="28"/>
      <c r="T99" s="28">
        <f t="shared" si="96"/>
        <v>2756.25</v>
      </c>
      <c r="U99" s="28">
        <f t="shared" si="96"/>
        <v>2756.25</v>
      </c>
      <c r="V99" s="28">
        <f t="shared" si="96"/>
        <v>2756.25</v>
      </c>
      <c r="W99" s="28">
        <f t="shared" si="96"/>
        <v>2756.25</v>
      </c>
      <c r="X99" s="28">
        <f t="shared" si="97"/>
        <v>11025</v>
      </c>
    </row>
    <row r="100" spans="2:24" x14ac:dyDescent="0.15">
      <c r="B100" s="68" t="str">
        <f t="shared" si="91"/>
        <v>Engineering</v>
      </c>
      <c r="G100" s="28"/>
      <c r="H100" s="28">
        <f t="shared" si="92"/>
        <v>13750</v>
      </c>
      <c r="I100" s="28">
        <f t="shared" si="92"/>
        <v>13750</v>
      </c>
      <c r="J100" s="28">
        <f t="shared" si="92"/>
        <v>23750</v>
      </c>
      <c r="K100" s="28">
        <f t="shared" si="92"/>
        <v>33000</v>
      </c>
      <c r="L100" s="28">
        <f t="shared" si="93"/>
        <v>84250</v>
      </c>
      <c r="M100" s="28"/>
      <c r="N100" s="28">
        <f t="shared" si="94"/>
        <v>42000</v>
      </c>
      <c r="O100" s="28">
        <f t="shared" si="94"/>
        <v>45150</v>
      </c>
      <c r="P100" s="28">
        <f t="shared" si="94"/>
        <v>47250</v>
      </c>
      <c r="Q100" s="28">
        <f t="shared" si="94"/>
        <v>47250</v>
      </c>
      <c r="R100" s="28">
        <f t="shared" si="95"/>
        <v>181650</v>
      </c>
      <c r="S100" s="28"/>
      <c r="T100" s="28">
        <f t="shared" si="96"/>
        <v>57330</v>
      </c>
      <c r="U100" s="28">
        <f t="shared" si="96"/>
        <v>60637.5</v>
      </c>
      <c r="V100" s="28">
        <f t="shared" si="96"/>
        <v>62842.5</v>
      </c>
      <c r="W100" s="28">
        <f t="shared" si="96"/>
        <v>62842.5</v>
      </c>
      <c r="X100" s="28">
        <f t="shared" si="97"/>
        <v>243652.5</v>
      </c>
    </row>
    <row r="101" spans="2:24" x14ac:dyDescent="0.15">
      <c r="B101" s="68" t="str">
        <f t="shared" si="91"/>
        <v>Sales</v>
      </c>
      <c r="G101" s="28"/>
      <c r="H101" s="28">
        <f t="shared" si="92"/>
        <v>3250</v>
      </c>
      <c r="I101" s="28">
        <f t="shared" si="92"/>
        <v>3250</v>
      </c>
      <c r="J101" s="28">
        <f t="shared" si="92"/>
        <v>19125</v>
      </c>
      <c r="K101" s="28">
        <f t="shared" si="92"/>
        <v>23500</v>
      </c>
      <c r="L101" s="28">
        <f t="shared" si="93"/>
        <v>49125</v>
      </c>
      <c r="M101" s="28"/>
      <c r="N101" s="28">
        <f t="shared" si="94"/>
        <v>33206.25</v>
      </c>
      <c r="O101" s="28">
        <f t="shared" si="94"/>
        <v>37800</v>
      </c>
      <c r="P101" s="28">
        <f t="shared" si="94"/>
        <v>39900</v>
      </c>
      <c r="Q101" s="28">
        <f t="shared" si="94"/>
        <v>39900</v>
      </c>
      <c r="R101" s="28">
        <f t="shared" si="95"/>
        <v>150806.25</v>
      </c>
      <c r="S101" s="28"/>
      <c r="T101" s="28">
        <f t="shared" si="96"/>
        <v>60499.6875</v>
      </c>
      <c r="U101" s="28">
        <f t="shared" si="96"/>
        <v>60499.6875</v>
      </c>
      <c r="V101" s="28">
        <f t="shared" si="96"/>
        <v>60499.6875</v>
      </c>
      <c r="W101" s="28">
        <f t="shared" si="96"/>
        <v>60499.6875</v>
      </c>
      <c r="X101" s="28">
        <f t="shared" si="97"/>
        <v>241998.75</v>
      </c>
    </row>
    <row r="102" spans="2:24" x14ac:dyDescent="0.15">
      <c r="B102" s="68" t="str">
        <f t="shared" si="91"/>
        <v>Marketing</v>
      </c>
      <c r="G102" s="28"/>
      <c r="H102" s="28">
        <f t="shared" si="92"/>
        <v>1750</v>
      </c>
      <c r="I102" s="28">
        <f t="shared" si="92"/>
        <v>1750</v>
      </c>
      <c r="J102" s="28">
        <f t="shared" si="92"/>
        <v>1750</v>
      </c>
      <c r="K102" s="28">
        <f t="shared" si="92"/>
        <v>5500</v>
      </c>
      <c r="L102" s="28">
        <f t="shared" si="93"/>
        <v>10750</v>
      </c>
      <c r="M102" s="28"/>
      <c r="N102" s="28">
        <f t="shared" si="94"/>
        <v>5775</v>
      </c>
      <c r="O102" s="28">
        <f t="shared" si="94"/>
        <v>5775</v>
      </c>
      <c r="P102" s="28">
        <f t="shared" si="94"/>
        <v>5775</v>
      </c>
      <c r="Q102" s="28">
        <f t="shared" si="94"/>
        <v>5775</v>
      </c>
      <c r="R102" s="28">
        <f t="shared" si="95"/>
        <v>23100</v>
      </c>
      <c r="S102" s="28"/>
      <c r="T102" s="28">
        <f t="shared" si="96"/>
        <v>6063.75</v>
      </c>
      <c r="U102" s="28">
        <f t="shared" si="96"/>
        <v>6063.75</v>
      </c>
      <c r="V102" s="28">
        <f t="shared" si="96"/>
        <v>6063.75</v>
      </c>
      <c r="W102" s="28">
        <f t="shared" si="96"/>
        <v>6063.75</v>
      </c>
      <c r="X102" s="28">
        <f t="shared" si="97"/>
        <v>24255</v>
      </c>
    </row>
    <row r="103" spans="2:24" x14ac:dyDescent="0.15">
      <c r="B103" s="68" t="str">
        <f t="shared" si="91"/>
        <v>HR</v>
      </c>
      <c r="G103" s="28"/>
      <c r="H103" s="28">
        <f t="shared" si="92"/>
        <v>0</v>
      </c>
      <c r="I103" s="28">
        <f t="shared" si="92"/>
        <v>0</v>
      </c>
      <c r="J103" s="28">
        <f t="shared" si="92"/>
        <v>2500</v>
      </c>
      <c r="K103" s="28">
        <f t="shared" si="92"/>
        <v>2500</v>
      </c>
      <c r="L103" s="28">
        <f t="shared" si="93"/>
        <v>5000</v>
      </c>
      <c r="M103" s="28"/>
      <c r="N103" s="28">
        <f t="shared" si="94"/>
        <v>2625</v>
      </c>
      <c r="O103" s="28">
        <f t="shared" si="94"/>
        <v>2625</v>
      </c>
      <c r="P103" s="28">
        <f t="shared" si="94"/>
        <v>2625</v>
      </c>
      <c r="Q103" s="28">
        <f t="shared" si="94"/>
        <v>2625</v>
      </c>
      <c r="R103" s="28">
        <f t="shared" si="95"/>
        <v>10500</v>
      </c>
      <c r="S103" s="28"/>
      <c r="T103" s="28">
        <f t="shared" si="96"/>
        <v>2756.25</v>
      </c>
      <c r="U103" s="28">
        <f t="shared" si="96"/>
        <v>2756.25</v>
      </c>
      <c r="V103" s="28">
        <f t="shared" si="96"/>
        <v>2756.25</v>
      </c>
      <c r="W103" s="28">
        <f t="shared" si="96"/>
        <v>2756.25</v>
      </c>
      <c r="X103" s="28">
        <f t="shared" si="97"/>
        <v>11025</v>
      </c>
    </row>
    <row r="104" spans="2:24" x14ac:dyDescent="0.15">
      <c r="B104" s="30" t="str">
        <f>"Total "&amp;B97</f>
        <v>Total Employee Benefits</v>
      </c>
      <c r="C104" s="31"/>
      <c r="D104" s="32"/>
      <c r="E104" s="32"/>
      <c r="F104" s="33"/>
      <c r="G104" s="15"/>
      <c r="H104" s="50">
        <f>SUM(H98:H103)</f>
        <v>28000</v>
      </c>
      <c r="I104" s="50">
        <f>SUM(I98:I103)</f>
        <v>28000</v>
      </c>
      <c r="J104" s="50">
        <f>SUM(J98:J103)</f>
        <v>56375</v>
      </c>
      <c r="K104" s="50">
        <f>SUM(K98:K103)</f>
        <v>73750</v>
      </c>
      <c r="L104" s="50">
        <f t="shared" si="93"/>
        <v>186125</v>
      </c>
      <c r="M104" s="15"/>
      <c r="N104" s="50">
        <f>SUM(N98:N103)</f>
        <v>93318.75</v>
      </c>
      <c r="O104" s="50">
        <f>SUM(O98:O103)</f>
        <v>101062.5</v>
      </c>
      <c r="P104" s="50">
        <f>SUM(P98:P103)</f>
        <v>105262.5</v>
      </c>
      <c r="Q104" s="50">
        <f>SUM(Q98:Q103)</f>
        <v>105262.5</v>
      </c>
      <c r="R104" s="50">
        <f t="shared" si="95"/>
        <v>404906.25</v>
      </c>
      <c r="S104" s="15"/>
      <c r="T104" s="50">
        <f>SUM(T98:T103)</f>
        <v>150629.0625</v>
      </c>
      <c r="U104" s="50">
        <f>SUM(U98:U103)</f>
        <v>153936.5625</v>
      </c>
      <c r="V104" s="50">
        <f>SUM(V98:V103)</f>
        <v>156141.5625</v>
      </c>
      <c r="W104" s="50">
        <f>SUM(W98:W103)</f>
        <v>156141.5625</v>
      </c>
      <c r="X104" s="50">
        <f t="shared" si="97"/>
        <v>616848.75</v>
      </c>
    </row>
  </sheetData>
  <pageMargins left="0.25" right="0.25" top="0.5" bottom="0.5" header="0.3" footer="0.3"/>
  <pageSetup fitToWidth="0"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D3DFFF"/>
  </sheetPr>
  <dimension ref="B6:D22"/>
  <sheetViews>
    <sheetView showGridLines="0" workbookViewId="0"/>
  </sheetViews>
  <sheetFormatPr baseColWidth="10" defaultRowHeight="15" x14ac:dyDescent="0.2"/>
  <cols>
    <col min="1" max="1" width="10.83203125" style="69"/>
    <col min="2" max="2" width="4.1640625" style="69" customWidth="1"/>
    <col min="3" max="16384" width="10.83203125" style="69"/>
  </cols>
  <sheetData>
    <row r="6" spans="2:4" ht="47" x14ac:dyDescent="0.55000000000000004">
      <c r="D6" s="72" t="s">
        <v>94</v>
      </c>
    </row>
    <row r="7" spans="2:4" ht="31" x14ac:dyDescent="0.35">
      <c r="C7" s="70"/>
      <c r="D7" s="73" t="s">
        <v>95</v>
      </c>
    </row>
    <row r="14" spans="2:4" ht="19" x14ac:dyDescent="0.25">
      <c r="B14" s="71" t="s">
        <v>100</v>
      </c>
      <c r="C14" s="71"/>
    </row>
    <row r="15" spans="2:4" ht="19" x14ac:dyDescent="0.25">
      <c r="B15" s="71"/>
      <c r="C15" s="71"/>
    </row>
    <row r="16" spans="2:4" ht="19" x14ac:dyDescent="0.25">
      <c r="B16" s="71"/>
      <c r="C16" s="71"/>
    </row>
    <row r="17" spans="2:3" ht="19" x14ac:dyDescent="0.25">
      <c r="B17" s="71" t="s">
        <v>97</v>
      </c>
      <c r="C17" s="71"/>
    </row>
    <row r="18" spans="2:3" ht="19" x14ac:dyDescent="0.25">
      <c r="B18" s="71"/>
      <c r="C18" s="74" t="s">
        <v>96</v>
      </c>
    </row>
    <row r="19" spans="2:3" ht="19" x14ac:dyDescent="0.25">
      <c r="B19" s="71"/>
      <c r="C19" s="74"/>
    </row>
    <row r="21" spans="2:3" ht="19" x14ac:dyDescent="0.25">
      <c r="B21" s="71" t="s">
        <v>98</v>
      </c>
    </row>
    <row r="22" spans="2:3" ht="19" x14ac:dyDescent="0.25">
      <c r="C22" s="74" t="s">
        <v>99</v>
      </c>
    </row>
  </sheetData>
  <hyperlinks>
    <hyperlink ref="C18" r:id="rId1"/>
    <hyperlink ref="C2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Model</vt:lpstr>
      <vt:lpstr>Personnel</vt:lpstr>
      <vt:lpstr>About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2018-08-21T03:01:58Z</dcterms:created>
  <dcterms:modified xsi:type="dcterms:W3CDTF">2018-08-26T22:30:29Z</dcterms:modified>
</cp:coreProperties>
</file>